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zwTBnFTsJxEt3DsR7zwi0Q3hWG9XgWPXODitEnb7HhOYp7Qu6y/AxHPsOG/E6Fxu9MVmswyeFsuPfzLHA17IXg==" workbookSaltValue="7eYU0NeBZbfD/tPYT6lzo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AP16" i="20" s="1"/>
  <c r="BM19" i="8"/>
  <c r="AL13" i="16"/>
  <c r="S13" i="16"/>
  <c r="P13" i="16"/>
  <c r="AM13" i="20"/>
  <c r="M18" i="2"/>
  <c r="H13" i="12"/>
  <c r="F13" i="7"/>
  <c r="AQ10" i="21"/>
  <c r="AQ12" i="21"/>
  <c r="BG10" i="8"/>
  <c r="BD15"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P20" i="20"/>
  <c r="W20" i="21"/>
  <c r="R20" i="20"/>
  <c r="O10" i="11"/>
  <c r="J20" i="20"/>
  <c r="M20" i="20"/>
  <c r="AH20" i="20"/>
  <c r="T20" i="21"/>
  <c r="I20" i="20"/>
  <c r="AJ20" i="20"/>
  <c r="W20" i="20"/>
  <c r="AO20" i="20"/>
  <c r="AU20" i="20"/>
  <c r="Y20" i="20"/>
  <c r="AV20" i="20"/>
  <c r="AQ20" i="20"/>
  <c r="E20" i="20"/>
  <c r="BM18" i="16" l="1"/>
  <c r="AV18" i="21"/>
  <c r="Z13" i="17"/>
  <c r="AB13" i="21"/>
  <c r="BG12" i="8"/>
  <c r="AC10" i="11"/>
  <c r="B17" i="6"/>
  <c r="AN12" i="11"/>
  <c r="D10" i="6"/>
  <c r="E9" i="6"/>
  <c r="C11" i="6"/>
  <c r="AO15" i="11"/>
  <c r="AL16" i="11"/>
  <c r="J10" i="2"/>
  <c r="K9" i="7"/>
  <c r="AO17" i="11"/>
  <c r="AO9" i="11"/>
  <c r="L12" i="2"/>
  <c r="BH11" i="11"/>
  <c r="F15" i="16"/>
  <c r="BL15" i="16" s="1"/>
  <c r="BE12" i="21"/>
  <c r="BE9" i="13"/>
  <c r="AL9" i="11"/>
  <c r="E11" i="6"/>
  <c r="BG12" i="11"/>
  <c r="S12" i="14"/>
  <c r="V12" i="14" s="1"/>
  <c r="U10" i="17"/>
  <c r="BV12" i="16"/>
  <c r="T15" i="16"/>
  <c r="X15" i="16"/>
  <c r="X18" i="16" s="1"/>
  <c r="BL16" i="11"/>
  <c r="T11" i="11"/>
  <c r="BJ10" i="11"/>
  <c r="BH10" i="11"/>
  <c r="S11" i="14"/>
  <c r="V11" i="14" s="1"/>
  <c r="BU16" i="17"/>
  <c r="BV11" i="16"/>
  <c r="BV17" i="16"/>
  <c r="BK17" i="11"/>
  <c r="BG15" i="11"/>
  <c r="BJ12" i="11"/>
  <c r="BJ11" i="11"/>
  <c r="S16" i="14"/>
  <c r="V16" i="14" s="1"/>
  <c r="BI10" i="11"/>
  <c r="S9" i="17"/>
  <c r="V12" i="21"/>
  <c r="BL12" i="11"/>
  <c r="BF16" i="11"/>
  <c r="V11" i="16"/>
  <c r="BH15" i="16"/>
  <c r="BJ17" i="11"/>
  <c r="BH9"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X12" i="21"/>
  <c r="T17" i="11"/>
  <c r="BF11" i="11"/>
  <c r="BH11" i="16"/>
  <c r="BL9" i="11"/>
  <c r="BH17" i="16"/>
  <c r="BG10" i="11"/>
  <c r="BM16" i="11"/>
  <c r="P17" i="17"/>
  <c r="BL17" i="11"/>
  <c r="BK12" i="11"/>
  <c r="BF10" i="11"/>
  <c r="BK9" i="11"/>
  <c r="X11" i="17"/>
  <c r="BK11" i="11"/>
  <c r="X9" i="17"/>
  <c r="AP10" i="21"/>
  <c r="BM12" i="11"/>
  <c r="BH9" i="11"/>
  <c r="S9" i="14"/>
  <c r="V9" i="14" s="1"/>
  <c r="BI15" i="11"/>
  <c r="BJ15" i="11"/>
  <c r="BJ18" i="11" s="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S18" i="16" s="1"/>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J12"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<sst xmlns="http://schemas.openxmlformats.org/spreadsheetml/2006/main" count="2094" uniqueCount="913">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</sst>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2TE1JJ0y3pTAtZzYW6hFd/m8kDsmTLklgeKopbO/I7ph2eLAMTnQ91GrW8hD43s9C1qMCR0WIYpeKKd6c5I1Q==" saltValue="ES0hP3K5hUIFLjjh36Wp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49.430379746835442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307</v>
      </c>
      <c r="D16" s="229">
        <f>IF(ISNUMBER(IF(D_I="SI",Datos!I16,Datos!I16+Datos!AC16)),IF(D_I="SI",Datos!I16,Datos!I16+Datos!AC16)," - ")</f>
        <v>306</v>
      </c>
      <c r="E16" s="230">
        <f>IF(ISNUMBER(IF(D_I="SI",Datos!J16,Datos!J16+Datos!AD16)),IF(D_I="SI",Datos!J16,Datos!J16+Datos!AD16)," - ")</f>
        <v>345</v>
      </c>
      <c r="F16" s="230">
        <f>IF(ISNUMBER(IF(D_I="SI",Datos!K16,Datos!K16+Datos!AE16)),IF(D_I="SI",Datos!K16,Datos!K16+Datos!AE16)," - ")</f>
        <v>296</v>
      </c>
      <c r="G16" s="1189" t="str">
        <f>IF(Datos!E16&lt;&gt;"",Datos!E16,Datos!D16)</f>
        <v>04</v>
      </c>
      <c r="H16" s="231">
        <f>IF(ISNUMBER(IF(D_I="SI",Datos!L16,Datos!L16+Datos!AF16)),IF(D_I="SI",Datos!L16,Datos!L16+Datos!AF16)," - ")</f>
        <v>356</v>
      </c>
      <c r="I16" s="1199" t="str">
        <f>IF(ISNUMBER(Datos!AS16/Datos!BM16),Datos!AS16/Datos!BM16," - ")</f>
        <v xml:space="preserve"> - </v>
      </c>
      <c r="J16" s="1200">
        <f>IF(ISNUMBER(Datos!BY16/Datos!CN16),Datos!BY16/Datos!CN16," - ")</f>
        <v>0</v>
      </c>
      <c r="K16" s="234">
        <f t="shared" si="3"/>
        <v>0.15960912052117263</v>
      </c>
      <c r="L16" s="1201">
        <f>IF(ISNUMBER(NºAsuntos!I16/NºAsuntos!G16),(NºAsuntos!I16/NºAsuntos!G16)*11," - ")</f>
        <v>13.22972972972973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33</v>
      </c>
      <c r="F17" s="230">
        <f>IF(ISNUMBER(IF(D_I="SI",Datos!K17,Datos!K17+Datos!AE17)),IF(D_I="SI",Datos!K17,Datos!K17+Datos!AE17)," - ")</f>
        <v>31</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4.967741935483871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319</v>
      </c>
      <c r="D18" s="1206">
        <f>SUBTOTAL(9,D15:D17)</f>
        <v>318</v>
      </c>
      <c r="E18" s="1207">
        <f>SUBTOTAL(9,E15:E17)</f>
        <v>378</v>
      </c>
      <c r="F18" s="1207">
        <f>SUBTOTAL(9,F15:F17)</f>
        <v>327</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320</v>
      </c>
      <c r="D19" s="1228">
        <f>SUBTOTAL(9,D9:D18)</f>
        <v>319</v>
      </c>
      <c r="E19" s="1229">
        <f>SUBTOTAL(9,E9:E18)</f>
        <v>379</v>
      </c>
      <c r="F19" s="1229">
        <f>SUBTOTAL(9,F9:F18)</f>
        <v>328</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pKOqi5X9/EnQ0lQfeR5gMkNjomMQFpWIX8DsvJhh8sDK8Bgx7raq+ekGXox5ZKcIazSExnxkax7HR9Xb8cYg==" saltValue="oxGMIiB/TeVAe9ofHIJc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ac9F9nxcVQl2YOssmp+EnrblGhxAJHe+LAFA53WQM0082egMEDO1INPNUnuwHD3WM9fRf6NVrdhBqjkjuXebQ==" saltValue="6GK4CkqosYQ0PAeULjtF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1</v>
      </c>
      <c r="N10" s="185">
        <v>0</v>
      </c>
      <c r="O10" s="185">
        <v>0</v>
      </c>
      <c r="P10" s="185">
        <v>0</v>
      </c>
      <c r="Q10" s="185">
        <v>0</v>
      </c>
      <c r="R10" s="185">
        <v>1</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334</v>
      </c>
      <c r="J12" s="187">
        <v>80</v>
      </c>
      <c r="K12" s="187">
        <v>72</v>
      </c>
      <c r="L12" s="187">
        <v>342</v>
      </c>
      <c r="M12" s="187">
        <v>15</v>
      </c>
      <c r="N12" s="187">
        <v>33</v>
      </c>
      <c r="O12" s="185">
        <v>46</v>
      </c>
      <c r="P12" s="187">
        <v>30</v>
      </c>
      <c r="Q12" s="187">
        <v>12</v>
      </c>
      <c r="R12" s="187">
        <v>592</v>
      </c>
      <c r="S12" s="187">
        <v>237</v>
      </c>
      <c r="T12" s="187">
        <v>177</v>
      </c>
      <c r="U12" s="187">
        <v>122</v>
      </c>
      <c r="V12" s="187">
        <v>293</v>
      </c>
      <c r="W12" s="187">
        <v>22</v>
      </c>
      <c r="X12" s="193">
        <v>38</v>
      </c>
      <c r="Y12" s="195">
        <v>7</v>
      </c>
      <c r="Z12" s="185">
        <v>13</v>
      </c>
      <c r="AA12" s="185">
        <v>7</v>
      </c>
      <c r="AB12" s="185">
        <v>13</v>
      </c>
      <c r="AC12" s="187">
        <v>0</v>
      </c>
      <c r="AD12" s="187">
        <v>0</v>
      </c>
      <c r="AE12" s="187">
        <v>0</v>
      </c>
      <c r="AF12" s="193">
        <v>0</v>
      </c>
      <c r="AG12" s="206">
        <v>7</v>
      </c>
      <c r="AH12" s="187">
        <v>23</v>
      </c>
      <c r="AI12" s="187">
        <v>9</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244</v>
      </c>
      <c r="AZ12" s="128">
        <f t="shared" si="1"/>
        <v>200</v>
      </c>
      <c r="BA12" s="128">
        <f t="shared" si="1"/>
        <v>131</v>
      </c>
      <c r="BB12" s="128">
        <f t="shared" si="1"/>
        <v>314</v>
      </c>
      <c r="BC12" s="126">
        <f>IF(ISNUMBER(X12),X12," - ")</f>
        <v>38</v>
      </c>
      <c r="BD12" s="127">
        <f t="shared" si="2"/>
        <v>0.65500000000000003</v>
      </c>
      <c r="BE12" s="128">
        <f t="shared" si="3"/>
        <v>2.3969465648854964</v>
      </c>
      <c r="BF12" s="128">
        <f t="shared" si="4"/>
        <v>0.29007633587786258</v>
      </c>
      <c r="BG12" s="200">
        <f t="shared" si="5"/>
        <v>3.3893129770992365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335</v>
      </c>
      <c r="J13" s="188">
        <f t="shared" si="6"/>
        <v>81</v>
      </c>
      <c r="K13" s="188">
        <f t="shared" si="6"/>
        <v>73</v>
      </c>
      <c r="L13" s="188">
        <f t="shared" si="6"/>
        <v>343</v>
      </c>
      <c r="M13" s="188">
        <f t="shared" si="6"/>
        <v>16</v>
      </c>
      <c r="N13" s="188">
        <f t="shared" si="6"/>
        <v>33</v>
      </c>
      <c r="O13" s="188">
        <f t="shared" si="6"/>
        <v>46</v>
      </c>
      <c r="P13" s="188">
        <f t="shared" si="6"/>
        <v>30</v>
      </c>
      <c r="Q13" s="188">
        <f t="shared" si="6"/>
        <v>12</v>
      </c>
      <c r="R13" s="188">
        <f t="shared" si="6"/>
        <v>593</v>
      </c>
      <c r="S13" s="188">
        <f t="shared" si="6"/>
        <v>239</v>
      </c>
      <c r="T13" s="188">
        <f t="shared" si="6"/>
        <v>177</v>
      </c>
      <c r="U13" s="188">
        <f t="shared" si="6"/>
        <v>122</v>
      </c>
      <c r="V13" s="188">
        <f t="shared" si="6"/>
        <v>295</v>
      </c>
      <c r="W13" s="188">
        <f t="shared" si="6"/>
        <v>22</v>
      </c>
      <c r="X13" s="188">
        <f t="shared" si="6"/>
        <v>38</v>
      </c>
      <c r="Y13" s="188">
        <f t="shared" si="6"/>
        <v>7</v>
      </c>
      <c r="Z13" s="188">
        <f t="shared" si="6"/>
        <v>13</v>
      </c>
      <c r="AA13" s="188">
        <f t="shared" si="6"/>
        <v>7</v>
      </c>
      <c r="AB13" s="188">
        <f t="shared" si="6"/>
        <v>13</v>
      </c>
      <c r="AC13" s="188">
        <f t="shared" si="6"/>
        <v>0</v>
      </c>
      <c r="AD13" s="188">
        <f t="shared" si="6"/>
        <v>0</v>
      </c>
      <c r="AE13" s="188">
        <f t="shared" si="6"/>
        <v>0</v>
      </c>
      <c r="AF13" s="188">
        <f>SUBTOTAL(9,AF9:AF12)</f>
        <v>0</v>
      </c>
      <c r="AG13" s="188">
        <f t="shared" ref="AG13:AT13" si="7">SUBTOTAL(9,AG8:AG12)</f>
        <v>7</v>
      </c>
      <c r="AH13" s="188">
        <f t="shared" si="7"/>
        <v>23</v>
      </c>
      <c r="AI13" s="188">
        <f t="shared" si="7"/>
        <v>9</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246</v>
      </c>
      <c r="AZ13" s="188">
        <f>SUBTOTAL(9,AZ8:AZ12)</f>
        <v>200</v>
      </c>
      <c r="BA13" s="188">
        <f>SUBTOTAL(9,BA8:BA12)</f>
        <v>131</v>
      </c>
      <c r="BB13" s="188">
        <f>SUBTOTAL(9,BB8:BB12)</f>
        <v>316</v>
      </c>
      <c r="BC13" s="188">
        <f>SUBTOTAL(9,BC8:BC12)</f>
        <v>38</v>
      </c>
      <c r="BD13" s="209">
        <f>IF(ISNUMBER(BA13/AZ13),BA13/AZ13," - ")</f>
        <v>0.65500000000000003</v>
      </c>
      <c r="BE13" s="210">
        <f>IF(ISNUMBER(BB13/BA13),BB13/BA13, " - ")</f>
        <v>2.4122137404580153</v>
      </c>
      <c r="BF13" s="210">
        <f>IF(ISNUMBER(BC13/BA13),BC13/BA13, " - ")</f>
        <v>0.29007633587786258</v>
      </c>
      <c r="BG13" s="211">
        <f>IF(ISNUMBER((AY13+AZ13)/BA13),(AY13+AZ13)/BA13," - ")</f>
        <v>3.4045801526717558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306</v>
      </c>
      <c r="J16" s="187">
        <v>345</v>
      </c>
      <c r="K16" s="187">
        <v>296</v>
      </c>
      <c r="L16" s="187">
        <v>356</v>
      </c>
      <c r="M16" s="187">
        <v>16</v>
      </c>
      <c r="N16" s="187">
        <v>245</v>
      </c>
      <c r="O16" s="185">
        <v>0</v>
      </c>
      <c r="P16" s="187">
        <v>5</v>
      </c>
      <c r="Q16" s="187">
        <v>4</v>
      </c>
      <c r="R16" s="187">
        <v>45</v>
      </c>
      <c r="S16" s="187">
        <v>155</v>
      </c>
      <c r="T16" s="187">
        <v>395</v>
      </c>
      <c r="U16" s="187">
        <v>337</v>
      </c>
      <c r="V16" s="187">
        <v>213</v>
      </c>
      <c r="W16" s="187">
        <v>26</v>
      </c>
      <c r="X16" s="193">
        <v>234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155</v>
      </c>
      <c r="AZ16" s="128">
        <f t="shared" si="9"/>
        <v>395</v>
      </c>
      <c r="BA16" s="128">
        <f t="shared" si="9"/>
        <v>337</v>
      </c>
      <c r="BB16" s="128">
        <f t="shared" si="9"/>
        <v>213</v>
      </c>
      <c r="BC16" s="126">
        <f>IF(ISNUMBER(W16),W16," - ")</f>
        <v>26</v>
      </c>
      <c r="BD16" s="127">
        <f t="shared" ref="BD16" si="11">IF(ISNUMBER(BA16/AZ16),BA16/AZ16," - ")</f>
        <v>0.85316455696202531</v>
      </c>
      <c r="BE16" s="128">
        <f t="shared" ref="BE16" si="12">IF(ISNUMBER(BB16/BA16),BB16/BA16, " - ")</f>
        <v>0.63204747774480707</v>
      </c>
      <c r="BF16" s="128">
        <f t="shared" ref="BF16" si="13">IF(ISNUMBER(BC16/BA16),BC16/BA16, " - ")</f>
        <v>7.71513353115727E-2</v>
      </c>
      <c r="BG16" s="200">
        <f t="shared" si="10"/>
        <v>1.6320474777448071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33</v>
      </c>
      <c r="K17" s="187">
        <v>31</v>
      </c>
      <c r="L17" s="187">
        <v>14</v>
      </c>
      <c r="M17" s="187">
        <v>5</v>
      </c>
      <c r="N17" s="187">
        <v>14</v>
      </c>
      <c r="O17" s="187">
        <v>0</v>
      </c>
      <c r="P17" s="187">
        <v>1</v>
      </c>
      <c r="Q17" s="187">
        <v>0</v>
      </c>
      <c r="R17" s="187">
        <v>2</v>
      </c>
      <c r="S17" s="187">
        <v>12</v>
      </c>
      <c r="T17" s="187">
        <v>25</v>
      </c>
      <c r="U17" s="187">
        <v>26</v>
      </c>
      <c r="V17" s="187">
        <v>11</v>
      </c>
      <c r="W17" s="187">
        <v>2</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25</v>
      </c>
      <c r="BA17" s="130">
        <f t="shared" si="14"/>
        <v>26</v>
      </c>
      <c r="BB17" s="130">
        <f t="shared" si="14"/>
        <v>11</v>
      </c>
      <c r="BC17" s="126">
        <f>IF(ISNUMBER(W17),W17," - ")</f>
        <v>2</v>
      </c>
      <c r="BD17" s="127">
        <f>IF(ISNUMBER(BA17/AZ17),BA17/AZ17," - ")</f>
        <v>1.04</v>
      </c>
      <c r="BE17" s="128">
        <f>IF(ISNUMBER(BB17/BA17),BB17/BA17, " - ")</f>
        <v>0.42307692307692307</v>
      </c>
      <c r="BF17" s="128">
        <f>IF(ISNUMBER(BC17/BA17),BC17/BA17, " - ")</f>
        <v>7.6923076923076927E-2</v>
      </c>
      <c r="BG17" s="200">
        <f>IF(ISNUMBER((AY17+AZ17)/BA17),(AY17+AZ17)/BA17," - ")</f>
        <v>1.4230769230769231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318</v>
      </c>
      <c r="J18" s="188">
        <f t="shared" si="15"/>
        <v>378</v>
      </c>
      <c r="K18" s="188">
        <f t="shared" si="15"/>
        <v>327</v>
      </c>
      <c r="L18" s="188">
        <f t="shared" si="15"/>
        <v>370</v>
      </c>
      <c r="M18" s="188">
        <f t="shared" si="15"/>
        <v>21</v>
      </c>
      <c r="N18" s="188">
        <f t="shared" si="15"/>
        <v>259</v>
      </c>
      <c r="O18" s="188">
        <f t="shared" si="15"/>
        <v>0</v>
      </c>
      <c r="P18" s="188">
        <f t="shared" si="15"/>
        <v>6</v>
      </c>
      <c r="Q18" s="188">
        <f t="shared" si="15"/>
        <v>4</v>
      </c>
      <c r="R18" s="188">
        <f t="shared" si="15"/>
        <v>47</v>
      </c>
      <c r="S18" s="188">
        <f t="shared" si="15"/>
        <v>167</v>
      </c>
      <c r="T18" s="188">
        <f t="shared" si="15"/>
        <v>420</v>
      </c>
      <c r="U18" s="188">
        <f t="shared" si="15"/>
        <v>363</v>
      </c>
      <c r="V18" s="188">
        <f t="shared" si="15"/>
        <v>224</v>
      </c>
      <c r="W18" s="188">
        <f t="shared" si="15"/>
        <v>28</v>
      </c>
      <c r="X18" s="188">
        <f t="shared" si="15"/>
        <v>241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167</v>
      </c>
      <c r="AZ18" s="188">
        <f>SUBTOTAL(9,AZ14:AZ17)</f>
        <v>420</v>
      </c>
      <c r="BA18" s="188">
        <f>SUBTOTAL(9,BA14:BA17)</f>
        <v>363</v>
      </c>
      <c r="BB18" s="188">
        <f>SUBTOTAL(9,BB14:BB17)</f>
        <v>224</v>
      </c>
      <c r="BC18" s="188">
        <f>SUBTOTAL(9,BC14:BC17)</f>
        <v>28</v>
      </c>
      <c r="BD18" s="209">
        <f>IF(ISNUMBER(BA18/AZ18),BA18/AZ18," - ")</f>
        <v>0.86428571428571432</v>
      </c>
      <c r="BE18" s="210">
        <f>IF(ISNUMBER(BB18/BA18),BB18/BA18, " - ")</f>
        <v>0.61707988980716255</v>
      </c>
      <c r="BF18" s="210">
        <f>IF(ISNUMBER(BC18/BA18),BC18/BA18, " - ")</f>
        <v>7.7134986225895319E-2</v>
      </c>
      <c r="BG18" s="211">
        <f>IF(ISNUMBER((AY18+AZ18)/BA18),(AY18+AZ18)/BA18," - ")</f>
        <v>1.6170798898071626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653</v>
      </c>
      <c r="J19" s="135">
        <f t="shared" si="18"/>
        <v>459</v>
      </c>
      <c r="K19" s="135">
        <f t="shared" si="18"/>
        <v>400</v>
      </c>
      <c r="L19" s="135">
        <f t="shared" si="18"/>
        <v>713</v>
      </c>
      <c r="M19" s="135">
        <f t="shared" si="18"/>
        <v>37</v>
      </c>
      <c r="N19" s="135">
        <f t="shared" si="18"/>
        <v>292</v>
      </c>
      <c r="O19" s="135">
        <f t="shared" si="18"/>
        <v>46</v>
      </c>
      <c r="P19" s="135">
        <f t="shared" si="18"/>
        <v>36</v>
      </c>
      <c r="Q19" s="135">
        <f t="shared" si="18"/>
        <v>16</v>
      </c>
      <c r="R19" s="135">
        <f t="shared" si="18"/>
        <v>640</v>
      </c>
      <c r="S19" s="135">
        <f t="shared" si="18"/>
        <v>406</v>
      </c>
      <c r="T19" s="135">
        <f t="shared" si="18"/>
        <v>597</v>
      </c>
      <c r="U19" s="135">
        <f t="shared" si="18"/>
        <v>485</v>
      </c>
      <c r="V19" s="135">
        <f t="shared" si="18"/>
        <v>519</v>
      </c>
      <c r="W19" s="135">
        <f t="shared" si="18"/>
        <v>50</v>
      </c>
      <c r="X19" s="135">
        <f t="shared" si="18"/>
        <v>279</v>
      </c>
      <c r="Y19" s="135">
        <f t="shared" si="18"/>
        <v>7</v>
      </c>
      <c r="Z19" s="135">
        <f t="shared" si="18"/>
        <v>13</v>
      </c>
      <c r="AA19" s="135">
        <f t="shared" si="18"/>
        <v>7</v>
      </c>
      <c r="AB19" s="135">
        <f t="shared" si="18"/>
        <v>13</v>
      </c>
      <c r="AC19" s="135">
        <f t="shared" si="18"/>
        <v>0</v>
      </c>
      <c r="AD19" s="135">
        <f t="shared" si="18"/>
        <v>0</v>
      </c>
      <c r="AE19" s="135">
        <f t="shared" si="18"/>
        <v>0</v>
      </c>
      <c r="AF19" s="135">
        <f t="shared" si="18"/>
        <v>0</v>
      </c>
      <c r="AG19" s="135">
        <f t="shared" si="18"/>
        <v>7</v>
      </c>
      <c r="AH19" s="135">
        <f t="shared" si="18"/>
        <v>23</v>
      </c>
      <c r="AI19" s="135">
        <f t="shared" si="18"/>
        <v>9</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413</v>
      </c>
      <c r="AZ19" s="135">
        <f>SUBTOTAL(9,AZ9:AZ18)</f>
        <v>620</v>
      </c>
      <c r="BA19" s="135">
        <f>SUBTOTAL(9,BA9:BA18)</f>
        <v>494</v>
      </c>
      <c r="BB19" s="135">
        <f>SUBTOTAL(9,BB9:BB18)</f>
        <v>540</v>
      </c>
      <c r="BC19" s="136">
        <f>SUBTOTAL(9,BC9:BC18)</f>
        <v>66</v>
      </c>
      <c r="BD19" s="217">
        <f>IF(ISNUMBER(BA19/AZ19),BA19/AZ19," - ")</f>
        <v>0.79677419354838708</v>
      </c>
      <c r="BE19" s="214">
        <f>IF(ISNUMBER(BB19/BA19),BB19/BA19, " - ")</f>
        <v>1.0931174089068827</v>
      </c>
      <c r="BF19" s="214">
        <f>IF(ISNUMBER(BC19/BA19),BC19/BA19, " - ")</f>
        <v>0.13360323886639677</v>
      </c>
      <c r="BG19" s="136">
        <f>IF(ISNUMBER((AY19+AZ19)/BA19),(AY19+AZ19)/BA19," - ")</f>
        <v>2.0910931174089069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KRWc1xNJIdc7B2KrTJlmQ/snbVMz76YZ4OVdVRuwyjRYCLZcZt1pCJzX0xG+bgmMrq+4SbvkGIINYneWQSeTg==" saltValue="qTEPmJ/rT0kFReRU3D1N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W3jSvTpv55ufI4Nl2LsEwzrltI2KyJTdYRd2biQFoEI/crC7/1d3zCidQUnjYonkzSgO9m33GIb49uPM0VwCg==" saltValue="Xx9gspAXrK3CcCaTLjpQ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ORGIVA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592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33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0.84946236559139787</v>
      </c>
      <c r="BH12" s="669">
        <f>IF(ISNUMBER(((IF(J_V="SI",Datos!L12/Datos!K12,(Datos!L12+Datos!AB12)/(Datos!K12+Datos!AA12)))*11)/factor_trimestre),((IF(J_V="SI",Datos!L12/Datos!K12,(Datos!L12+Datos!AB12)/(Datos!K12+Datos!AA12)))*11)/factor_trimestre," - ")</f>
        <v>8.9873417721518987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3.1358885017421602E-2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v>
      </c>
      <c r="AD13" s="1045">
        <f t="shared" si="1"/>
        <v>0</v>
      </c>
      <c r="AE13" s="1045">
        <f t="shared" si="1"/>
        <v>0</v>
      </c>
      <c r="AF13" s="1045">
        <f t="shared" si="1"/>
        <v>1</v>
      </c>
      <c r="AG13" s="1045">
        <f t="shared" si="1"/>
        <v>0</v>
      </c>
      <c r="AH13" s="1045">
        <f t="shared" si="1"/>
        <v>13</v>
      </c>
      <c r="AI13" s="1045">
        <f t="shared" si="1"/>
        <v>0</v>
      </c>
      <c r="AJ13" s="1045">
        <f t="shared" si="1"/>
        <v>0</v>
      </c>
      <c r="AK13" s="1045">
        <f t="shared" si="1"/>
        <v>0</v>
      </c>
      <c r="AL13" s="1045">
        <f t="shared" si="1"/>
        <v>0</v>
      </c>
      <c r="AM13" s="1045">
        <f t="shared" si="1"/>
        <v>593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33</v>
      </c>
      <c r="BE13" s="1045">
        <f t="shared" si="1"/>
        <v>0</v>
      </c>
      <c r="BF13" s="1045">
        <f t="shared" si="1"/>
        <v>0</v>
      </c>
      <c r="BG13" s="1045">
        <f>IF(ISNUMBER(Datos!K13/Datos!J13),Datos!K13/Datos!J13," - ")</f>
        <v>0.90123456790123457</v>
      </c>
      <c r="BH13" s="1049">
        <f>IF(ISNUMBER(((Datos!L13/Datos!K13)*11)/factor_trimestre),((Datos!L13/Datos!K13)*11)/factor_trimestre," - ")</f>
        <v>9.3972602739726021</v>
      </c>
      <c r="BI13" s="1045">
        <f>IF(ISNUMBER('Resol  Asuntos'!D13/NºAsuntos!G13),'Resol  Asuntos'!D13/NºAsuntos!G13," - ")</f>
        <v>0.2</v>
      </c>
      <c r="BJ13" s="1045" t="str">
        <f>IF(ISNUMBER(Datos!CI13/Datos!CJ13),Datos!CI13/Datos!CJ13," - ")</f>
        <v xml:space="preserve"> - </v>
      </c>
      <c r="BK13" s="1045">
        <f>SUBTOTAL(9,BK8:BK12)</f>
        <v>0</v>
      </c>
      <c r="BL13" s="1045">
        <f>IF(ISNUMBER((I13-AB13+L13)/(F13)),(I13-AB13+L13)/(F13)," - ")</f>
        <v>-1</v>
      </c>
      <c r="BM13" s="1050">
        <f>SUBTOTAL(9,BM9:BM12)</f>
        <v>3.1358885017421602E-2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307</v>
      </c>
      <c r="G16" s="650">
        <f>IF(ISNUMBER(IF(D_I="SI",Datos!I16,Datos!I16+Datos!AC16)),IF(D_I="SI",Datos!I16,Datos!I16+Datos!AC16)," - ")</f>
        <v>306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296</v>
      </c>
      <c r="AC16" s="230">
        <f>IF(ISNUMBER(Datos!Q16),Datos!Q16," - ")</f>
        <v>4</v>
      </c>
      <c r="AD16" s="343"/>
      <c r="AE16" s="515"/>
      <c r="AF16" s="648">
        <f>IF(ISNUMBER(IF(D_I="SI",Datos!L16,Datos!L16+Datos!AF16)),IF(D_I="SI",Datos!L16,Datos!L16+Datos!AF16)," - ")</f>
        <v>356</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245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0.85797101449275359</v>
      </c>
      <c r="BH16" s="669">
        <f>IF(ISNUMBER(((IF(D_I="SI",Datos!L16/Datos!K16,(Datos!L16+Datos!AF16)/(Datos!K16+Datos!AE16)))*11)/factor_trimestre),((IF(D_I="SI",Datos!L16/Datos!K16,(Datos!L16+Datos!AF16)/(Datos!K16+Datos!AE16)))*11)/factor_trimestre," - ")</f>
        <v>2.4054054054054053</v>
      </c>
      <c r="BI16" s="247">
        <f>IF(ISNUMBER('Resol  Asuntos'!D16/NºAsuntos!G16),'Resol  Asuntos'!D16/NºAsuntos!G16," - ")</f>
        <v>5.4054054054054057E-2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v>
      </c>
      <c r="AC17" s="501">
        <f>IF(ISNUMBER(Datos!Q17),Datos!Q17," - ")</f>
        <v>0</v>
      </c>
      <c r="AD17" s="503"/>
      <c r="AE17" s="515"/>
      <c r="AF17" s="505">
        <f>IF(ISNUMBER(Datos!L17),Datos!L17,"-")</f>
        <v>14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0.93939393939393945</v>
      </c>
      <c r="BH17" s="669">
        <f>IF(ISNUMBER(((IF(D_I="SI",Datos!L17/Datos!K17,(Datos!L17+Datos!AF17)/(Datos!K17+Datos!AE17)))*11)/factor_trimestre),((IF(D_I="SI",Datos!L17/Datos!K17,(Datos!L17+Datos!AF17)/(Datos!K17+Datos!AE17)))*11)/factor_trimestre," - ")</f>
        <v>0.90322580645161288</v>
      </c>
      <c r="BI17" s="668">
        <f>IF(ISNUMBER('Resol  Asuntos'!D17/NºAsuntos!G17),'Resol  Asuntos'!D17/NºAsuntos!G17," - ")</f>
        <v>0.16129032258064516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307</v>
      </c>
      <c r="G18" s="1044">
        <f>SUBTOTAL(9,G15:G17)</f>
        <v>318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327</v>
      </c>
      <c r="AC18" s="1045">
        <f t="shared" si="4"/>
        <v>4</v>
      </c>
      <c r="AD18" s="1045">
        <f t="shared" si="4"/>
        <v>0</v>
      </c>
      <c r="AE18" s="1045">
        <f t="shared" si="4"/>
        <v>0</v>
      </c>
      <c r="AF18" s="1045">
        <f t="shared" si="4"/>
        <v>370</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259</v>
      </c>
      <c r="BE18" s="1045">
        <f t="shared" si="4"/>
        <v>0</v>
      </c>
      <c r="BF18" s="1045">
        <f t="shared" si="4"/>
        <v>0</v>
      </c>
      <c r="BG18" s="1045">
        <f>IF(ISNUMBER(Datos!K18/Datos!J18),Datos!K18/Datos!J18," - ")</f>
        <v>0.86507936507936511</v>
      </c>
      <c r="BH18" s="1049">
        <f>IF(ISNUMBER(((Datos!L18/Datos!K18)*11)/factor_trimestre),((Datos!L18/Datos!K18)*11)/factor_trimestre," - ")</f>
        <v>2.2629969418960245</v>
      </c>
      <c r="BI18" s="1045">
        <f>SUBTOTAL(9,BI15:BI17)</f>
        <v>0.21534437663469921</v>
      </c>
      <c r="BJ18" s="1045">
        <f>SUBTOTAL(9,BJ15:BJ17)</f>
        <v>0</v>
      </c>
      <c r="BK18" s="1045">
        <f>SUBTOTAL(9,BK15:BK17)</f>
        <v>0</v>
      </c>
      <c r="BL18" s="1045">
        <f>IF(ISNUMBER((I18-AB18+L18)/(F18)),(I18-AB18+L18)/(F18)," - ")</f>
        <v>-1.0651465798045603</v>
      </c>
      <c r="BM18" s="1051">
        <f>IF(ISNUMBER((Datos!P18-Datos!Q18)/(Datos!R18-Datos!P18+Datos!Q18)),(Datos!P18-Datos!Q18)/(Datos!R18-Datos!P18+Datos!Q18)," - ")</f>
        <v>4.4444444444444446E-2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308</v>
      </c>
      <c r="G19" s="966">
        <f t="shared" si="6"/>
        <v>319</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328</v>
      </c>
      <c r="AC19" s="967">
        <f t="shared" si="7"/>
        <v>16</v>
      </c>
      <c r="AD19" s="967">
        <f t="shared" si="7"/>
        <v>0</v>
      </c>
      <c r="AE19" s="967">
        <f t="shared" si="7"/>
        <v>0</v>
      </c>
      <c r="AF19" s="974">
        <f t="shared" si="7"/>
        <v>371</v>
      </c>
      <c r="AG19" s="974">
        <f t="shared" si="7"/>
        <v>0</v>
      </c>
      <c r="AH19" s="974">
        <f t="shared" si="7"/>
        <v>13</v>
      </c>
      <c r="AI19" s="974">
        <f t="shared" si="7"/>
        <v>0</v>
      </c>
      <c r="AJ19" s="967">
        <f t="shared" si="7"/>
        <v>0</v>
      </c>
      <c r="AK19" s="974">
        <f t="shared" si="7"/>
        <v>0</v>
      </c>
      <c r="AL19" s="974">
        <f t="shared" si="7"/>
        <v>0</v>
      </c>
      <c r="AM19" s="974">
        <f t="shared" si="7"/>
        <v>640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v>
      </c>
      <c r="BD19" s="966">
        <f t="shared" si="7"/>
        <v>292</v>
      </c>
      <c r="BE19" s="966">
        <f t="shared" si="7"/>
        <v>0</v>
      </c>
      <c r="BF19" s="976">
        <f t="shared" si="7"/>
        <v>0</v>
      </c>
      <c r="BG19" s="1061">
        <f>IF(ISNUMBER(Datos!K19/Datos!J19),Datos!K19/Datos!J19," - ")</f>
        <v>0.8714596949891068</v>
      </c>
      <c r="BH19" s="1061">
        <f>IF(ISNUMBER(((Datos!L19/Datos!K19)*11)/factor_trimestre),((Datos!L19/Datos!K19)*11)/factor_trimestre," - ")</f>
        <v>3.5649999999999995</v>
      </c>
      <c r="BI19" s="959">
        <f>IF(ISNUMBER(Datos!J19/Datos!I19),Datos!J19/Datos!I19," - ")</f>
        <v>0.70290964777947929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-1.0649350649350648</v>
      </c>
      <c r="BM19" s="1035">
        <f>IF(ISNUMBER((Datos!P19-Datos!Q19+R19)/(Datos!R19-Datos!P19+Datos!Q19-R19)),(Datos!P19-Datos!Q19+R19)/(Datos!R19-Datos!P19+Datos!Q19-R19)," - ")</f>
        <v>3.2258064516129031E-2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176.66918237202549</v>
      </c>
      <c r="G21" s="600">
        <f>IF(ISNUMBER(STDEV(G8:G18)),STDEV(G8:G18),"-")</f>
        <v>168.44672748379531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165.40918958751959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7.6332605527825832</v>
      </c>
      <c r="BD21" s="599"/>
      <c r="BE21" s="599">
        <f>IF(ISNUMBER(STDEV(BE8:BE18)),STDEV(BE8:BE18),"-")</f>
        <v>0</v>
      </c>
      <c r="BF21" s="604">
        <f>IF(ISNUMBER(STDEV(BF8:BF18)),STDEV(BF8:BF18),"-")</f>
        <v>0</v>
      </c>
      <c r="BG21" s="914">
        <f>IF(ISNUMBER(STDEV(BG8:BG18)),STDEV(BG8:BG18),"-")</f>
        <v>5.8420139319402077E-2</v>
      </c>
      <c r="BH21" s="918">
        <f>IF(ISNUMBER(STDEV(BH8:BH18)),STDEV(BH8:BH18),"-")</f>
        <v>3.8083096583366758</v>
      </c>
      <c r="BI21" s="253">
        <f>IF(ISNUMBER(STDEV(BI8:BI18)),STDEV(BI8:BI18),"-")</f>
        <v>7.2726734174138302E-2</v>
      </c>
      <c r="BJ21" s="234" t="str">
        <f>IF(ISNUMBER(BL21/BM21),BL21/BM21," - ")</f>
        <v xml:space="preserve"> - </v>
      </c>
      <c r="BK21" s="626"/>
      <c r="BL21" s="607">
        <f>IF(ISNUMBER(STDEV(BL8:BL18)),STDEV(BL8:BL18),"-")</f>
        <v>4.606558835091517E-2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TQtFBZJLNAYayIwQBZ8STrIs9aDtxBztq7s5/CGjZO6wCL+ARHERyMNhnNTiB7OcIUuNkSaDgHUq9p6Igw1qw==" saltValue="A0sNI/hzdlDwzGFwVuU4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ORGIVA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592</v>
      </c>
      <c r="AF12" s="619" t="str">
        <f>IF(ISNUMBER(Datos!BV12),Datos!BV12," - ")</f>
        <v xml:space="preserve"> - </v>
      </c>
      <c r="AG12" s="506" t="str">
        <f>IF(ISNUMBER(Datos!DV12),Datos!DV12," - ")</f>
        <v xml:space="preserve"> - </v>
      </c>
      <c r="AH12" s="507"/>
      <c r="AI12" s="508"/>
      <c r="AJ12" s="506">
        <f>IF(ISNUMBER(Datos!M12),Datos!M12," - ")</f>
        <v>15</v>
      </c>
      <c r="AK12" s="619">
        <f>IF(ISNUMBER(Datos!N12),Datos!N12," - ")</f>
        <v>33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8.9873417721518987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3.1358885017421602E-2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v>
      </c>
      <c r="AA13" s="1046">
        <f t="shared" si="2"/>
        <v>1</v>
      </c>
      <c r="AB13" s="1046">
        <f t="shared" si="2"/>
        <v>0</v>
      </c>
      <c r="AC13" s="1046">
        <f t="shared" si="2"/>
        <v>0</v>
      </c>
      <c r="AD13" s="1046">
        <f t="shared" si="2"/>
        <v>0</v>
      </c>
      <c r="AE13" s="1046">
        <f t="shared" si="2"/>
        <v>593</v>
      </c>
      <c r="AF13" s="1054">
        <f t="shared" si="2"/>
        <v>0</v>
      </c>
      <c r="AG13" s="1054">
        <f t="shared" si="2"/>
        <v>0</v>
      </c>
      <c r="AH13" s="1054">
        <f t="shared" si="2"/>
        <v>0</v>
      </c>
      <c r="AI13" s="1054">
        <f t="shared" si="2"/>
        <v>0</v>
      </c>
      <c r="AJ13" s="1054">
        <f t="shared" si="2"/>
        <v>16</v>
      </c>
      <c r="AK13" s="1054">
        <f t="shared" si="2"/>
        <v>33</v>
      </c>
      <c r="AL13" s="1054">
        <f t="shared" si="2"/>
        <v>0</v>
      </c>
      <c r="AM13" s="1054">
        <f t="shared" si="2"/>
        <v>0</v>
      </c>
      <c r="AN13" s="1054">
        <f t="shared" si="2"/>
        <v>0</v>
      </c>
      <c r="AO13" s="1050">
        <f>IF(ISNUMBER(((NºAsuntos!I13/NºAsuntos!G13)*11)/factor_trimestre),((NºAsuntos!I13/NºAsuntos!G13)*11)/factor_trimestre," - ")</f>
        <v>8.9</v>
      </c>
      <c r="AP13" s="1056" t="str">
        <f>IF(ISNUMBER(Datos!CI13/Datos!CJ13),Datos!CI13/Datos!CJ13," - ")</f>
        <v xml:space="preserve"> - </v>
      </c>
      <c r="AQ13" s="1074">
        <f t="shared" ref="AQ13:AV13" si="3">SUBTOTAL(9,AQ9:AQ12)</f>
        <v>0</v>
      </c>
      <c r="AR13" s="1074">
        <f t="shared" si="3"/>
        <v>3.1358885017421602E-2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307</v>
      </c>
      <c r="G16" s="506">
        <f>IF(ISNUMBER(IF(D_I="SI",Datos!I16,Datos!I16+Datos!AC16)),IF(D_I="SI",Datos!I16,Datos!I16+Datos!AC16)," - ")</f>
        <v>306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296</v>
      </c>
      <c r="Z16" s="703">
        <f>IF(ISNUMBER(Datos!Q16),Datos!Q16," - ")</f>
        <v>4</v>
      </c>
      <c r="AA16" s="505">
        <f>IF(ISNUMBER(IF(D_I="SI",Datos!L16,Datos!L16+Datos!AF16)),IF(D_I="SI",Datos!L16,Datos!L16+Datos!AF16)," - ")</f>
        <v>356</v>
      </c>
      <c r="AB16" s="503"/>
      <c r="AC16" s="503"/>
      <c r="AD16" s="516"/>
      <c r="AE16" s="516">
        <f>IF(ISNUMBER(Datos!R16),Datos!R16," - ")</f>
        <v>45</v>
      </c>
      <c r="AF16" s="619" t="str">
        <f>IF(ISNUMBER(Datos!BV16),Datos!BV16," - ")</f>
        <v xml:space="preserve"> - </v>
      </c>
      <c r="AG16" s="506"/>
      <c r="AH16" s="507"/>
      <c r="AI16" s="508"/>
      <c r="AJ16" s="506">
        <f>IF(ISNUMBER(Datos!M16),Datos!M16," - ")</f>
        <v>16</v>
      </c>
      <c r="AK16" s="619">
        <f>IF(ISNUMBER(Datos!N16),Datos!N16," - ")</f>
        <v>245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2.4054054054054053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v>
      </c>
      <c r="Z17" s="703">
        <f>IF(ISNUMBER(Datos!Q17),Datos!Q17," - ")</f>
        <v>0</v>
      </c>
      <c r="AA17" s="505">
        <f>IF(ISNUMBER(Datos!L17),Datos!L17,"-")</f>
        <v>14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0.90322580645161288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307</v>
      </c>
      <c r="G18" s="1044">
        <f>SUBTOTAL(9,G15:G17)</f>
        <v>318</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327</v>
      </c>
      <c r="Z18" s="1078">
        <f t="shared" si="5"/>
        <v>4</v>
      </c>
      <c r="AA18" s="1078">
        <f t="shared" si="5"/>
        <v>370</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21</v>
      </c>
      <c r="AK18" s="1078">
        <f t="shared" si="5"/>
        <v>259</v>
      </c>
      <c r="AL18" s="1078">
        <f t="shared" si="5"/>
        <v>0</v>
      </c>
      <c r="AM18" s="1078">
        <f t="shared" si="5"/>
        <v>0</v>
      </c>
      <c r="AN18" s="1078">
        <f t="shared" si="5"/>
        <v>0</v>
      </c>
      <c r="AO18" s="1080">
        <f>IF(ISNUMBER(((NºAsuntos!I18/NºAsuntos!G18)*11)/factor_trimestre),((NºAsuntos!I18/NºAsuntos!G18)*11)/factor_trimestre," - ")</f>
        <v>2.2629969418960245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308</v>
      </c>
      <c r="G19" s="966">
        <f t="shared" si="7"/>
        <v>319</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328</v>
      </c>
      <c r="Z19" s="973">
        <f t="shared" si="8"/>
        <v>16</v>
      </c>
      <c r="AA19" s="974">
        <f t="shared" si="8"/>
        <v>371</v>
      </c>
      <c r="AB19" s="974">
        <f t="shared" si="8"/>
        <v>0</v>
      </c>
      <c r="AC19" s="974">
        <f t="shared" si="8"/>
        <v>0</v>
      </c>
      <c r="AD19" s="975">
        <f t="shared" si="8"/>
        <v>0</v>
      </c>
      <c r="AE19" s="975">
        <f t="shared" si="8"/>
        <v>640</v>
      </c>
      <c r="AF19" s="976">
        <f t="shared" si="8"/>
        <v>0</v>
      </c>
      <c r="AG19" s="977">
        <f t="shared" si="8"/>
        <v>0</v>
      </c>
      <c r="AH19" s="978">
        <f t="shared" si="8"/>
        <v>0</v>
      </c>
      <c r="AI19" s="976">
        <f t="shared" si="8"/>
        <v>0</v>
      </c>
      <c r="AJ19" s="966">
        <f t="shared" si="8"/>
        <v>37</v>
      </c>
      <c r="AK19" s="966">
        <f t="shared" si="8"/>
        <v>292</v>
      </c>
      <c r="AL19" s="966">
        <f t="shared" si="8"/>
        <v>0</v>
      </c>
      <c r="AM19" s="979">
        <f t="shared" si="8"/>
        <v>0</v>
      </c>
      <c r="AN19" s="969">
        <f>IF(ISNUMBER(Datos!K19/Datos!J19),Datos!K19/Datos!J19," - ")</f>
        <v>0.8714596949891068</v>
      </c>
      <c r="AO19" s="969">
        <f>IF(ISNUMBER(FIND("06",Criterios!A8,1)),(IF(ISNUMBER(((Datos!R19/Datos!Q19)*11)/factor_trimestre),((Datos!R19/Datos!Q19)*11)/factor_trimestre," - ")),(IF(ISNUMBER(((Datos!L19/Datos!K19)*11)/factor_trimestre),((Datos!L19/Datos!K19)*11)/factor_trimestre," - ")))</f>
        <v>3.5649999999999995</v>
      </c>
      <c r="AP19" s="980" t="str">
        <f>IF(ISNUMBER(Datos!CI19/Datos!CJ19),Datos!CI19/Datos!CJ19," - ")</f>
        <v xml:space="preserve"> - </v>
      </c>
      <c r="AQ19" s="980">
        <f>IF(OR(ISNUMBER(FIND("01",Criterios!A8,1)),ISNUMBER(FIND("02",Criterios!A8,1)),ISNUMBER(FIND("03",Criterios!A8,1)),ISNUMBER(FIND("04",Criterios!A8,1))),(J19-Y19+K19)/(F19-K19),(I19-Y19+K19)/(F19-K19))</f>
        <v>-1.0649350649350648</v>
      </c>
      <c r="AR19" s="980">
        <f>IF(ISNUMBER((Datos!P19-Datos!Q19+O19)/(Datos!R19-Datos!P19+Datos!Q19-O19)),(Datos!P19-Datos!Q19+O19)/(Datos!R19-Datos!P19+Datos!Q19-O19)," - ")</f>
        <v>3.2258064516129031E-2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176.66918237202549</v>
      </c>
      <c r="G21" s="600">
        <f>IF(ISNUMBER(STDEV(G8:G18)),STDEV(G8:G18),"-")</f>
        <v>168.44672748379531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7.6332605527825832</v>
      </c>
      <c r="AK21" s="256"/>
      <c r="AL21" s="256">
        <f>IF(ISNUMBER(STDEV(AL8:AL18)),STDEV(AL8:AL18),"-")</f>
        <v>0</v>
      </c>
      <c r="AM21" s="258">
        <f>IF(ISNUMBER(STDEV(AM8:AM18)),STDEV(AM8:AM18),"-")</f>
        <v>0</v>
      </c>
      <c r="AN21" s="586">
        <f>IF(ISNUMBER(STDEV(AN8:AN18)),STDEV(AN8:AN18),"-")</f>
        <v>0</v>
      </c>
      <c r="AO21" s="587">
        <f>IF(ISNUMBER(STDEV(AO8:AO18)),STDEV(AO8:AO18),"-")</f>
        <v>3.6790959314013243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TZ1F4zdbnVWLQPCkP20+PXo84g7x6jKkJ+CrE/vM4x6Glir/hg1Ua6F3IujakbNIU4NwD5Zv6/QCn3+MxoKUA==" saltValue="FWfio+q1LIW8s5ZUrqVc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WDoAn/LM0jikIsdiuM7qchoX8l3ISBDyYOfcIxCJ8tKXRixn+OPRD0eduWWncwPm9J5Tta3MvY5/svje0yefg==" saltValue="Uxt7AqHko55MgIu57qBo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aORS+T8a6zu1gqAIO0vGq80bNWBNCk/d4HUsXjqBVP9uiMO8yBHUmrF1E7kjN2RwsxieMNXoe108Kmb5Nrmaw==" saltValue="PJaSrsoVKs+OBPtEp+Eo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ORGIVA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0.14142135623730953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IzPbUJBpUOPn65jYbTgKwt4QDPKTHnOS89Zei3QWCNm1FY2S1UNqdm4xVD6F6QObR6b+l0PUrAR6xgL6MOYGg==" saltValue="6k/PLZ7G0mxLMQym8Ag3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bJQ7upFTWSD2GbA33sOllyr2HBhe0r/VKAvIkzGhwlDO88RPM6HPsJhHfNnvC0OmP8PUOBAfW87a19SuDvwNg==" saltValue="kLadn+7UdgS2GKAyU4K8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ORGIVA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341</v>
      </c>
      <c r="D12" s="415">
        <f>IF(ISNUMBER(C12/Datos!BH12),C12/Datos!BH12," - ")</f>
        <v>170.5</v>
      </c>
      <c r="E12" s="414">
        <f>IF(ISNUMBER(IF(J_V="SI",Datos!J12,Datos!J12+Datos!Z12)),IF(J_V="SI",Datos!J12,Datos!J12+Datos!Z12)," - ")</f>
        <v>93</v>
      </c>
      <c r="F12" s="415">
        <f>IF(ISNUMBER(E12/B12),E12/B12," - ")</f>
        <v>46.5</v>
      </c>
      <c r="G12" s="414">
        <f>IF(ISNUMBER(IF(J_V="SI",Datos!K12,Datos!K12+Datos!AA12)),IF(J_V="SI",Datos!K12,Datos!K12+Datos!AA12)," - ")</f>
        <v>79</v>
      </c>
      <c r="H12" s="415">
        <f>IF(ISNUMBER(G12/B12),G12/B12," - ")</f>
        <v>39.5</v>
      </c>
      <c r="I12" s="414">
        <f>IF(ISNUMBER(IF(J_V="SI",Datos!L12,Datos!L12+Datos!AB12)),IF(J_V="SI",Datos!L12,Datos!L12+Datos!AB12)," - ")</f>
        <v>355</v>
      </c>
      <c r="J12" s="415">
        <f>IF(ISNUMBER(I12/B12),I12/B12," - ")</f>
        <v>177.5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342</v>
      </c>
      <c r="D13" s="996" t="str">
        <f>IF(ISNUMBER(C13/Datos!BI13),C13/Datos!BI13," - ")</f>
        <v xml:space="preserve"> - </v>
      </c>
      <c r="E13" s="995">
        <f>SUBTOTAL(9,E8:E12)</f>
        <v>94</v>
      </c>
      <c r="F13" s="996">
        <f>IF(ISNUMBER(E13/B13),E13/B13," - ")</f>
        <v>47</v>
      </c>
      <c r="G13" s="995">
        <f>SUBTOTAL(9,G8:G12)</f>
        <v>80</v>
      </c>
      <c r="H13" s="996">
        <f>IF(ISNUMBER(G13/B13),G13/B13," - ")</f>
        <v>40</v>
      </c>
      <c r="I13" s="995">
        <f>SUBTOTAL(9,I8:I12)</f>
        <v>356</v>
      </c>
      <c r="J13" s="996">
        <f>IF(ISNUMBER(I13/B13),I13/B13," - ")</f>
        <v>178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306</v>
      </c>
      <c r="D16" s="415">
        <f>IF(ISNUMBER(C16/Datos!BH16),C16/Datos!BH16," - ")</f>
        <v>153</v>
      </c>
      <c r="E16" s="414">
        <f>IF(ISNUMBER(IF(D_I="SI",Datos!J16,Datos!J16+Datos!AD16)),IF(D_I="SI",Datos!J16,Datos!J16+Datos!AD16)," - ")</f>
        <v>345</v>
      </c>
      <c r="F16" s="415">
        <f>IF(ISNUMBER(E16/B16),E16/B16," - ")</f>
        <v>172.5</v>
      </c>
      <c r="G16" s="414">
        <f>IF(ISNUMBER(IF(D_I="SI",Datos!K16,Datos!K16+Datos!AE16)),IF(D_I="SI",Datos!K16,Datos!K16+Datos!AE16)," - ")</f>
        <v>296</v>
      </c>
      <c r="H16" s="415">
        <f>IF(ISNUMBER(G16/B16),G16/B16," - ")</f>
        <v>148</v>
      </c>
      <c r="I16" s="414">
        <f>IF(ISNUMBER(IF(D_I="SI",Datos!L16,Datos!L16+Datos!AF16)),IF(D_I="SI",Datos!L16,Datos!L16+Datos!AF16)," - ")</f>
        <v>356</v>
      </c>
      <c r="J16" s="415">
        <f>IF(ISNUMBER(I16/B16),I16/B16," - ")</f>
        <v>178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33</v>
      </c>
      <c r="F17" s="415">
        <f>IF(ISNUMBER(E17/B17),E17/B17," - ")</f>
        <v>33</v>
      </c>
      <c r="G17" s="414">
        <f>IF(ISNUMBER(IF(D_I="SI",Datos!K17,Datos!K17+Datos!AE17)),IF(D_I="SI",Datos!K17,Datos!K17+Datos!AE17)," - ")</f>
        <v>31</v>
      </c>
      <c r="H17" s="415">
        <f>IF(ISNUMBER(G17/B17),G17/B17," - ")</f>
        <v>31</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318</v>
      </c>
      <c r="D18" s="996" t="str">
        <f>IF(ISNUMBER(C18/Datos!BI18),C18/Datos!BI18," - ")</f>
        <v xml:space="preserve"> - </v>
      </c>
      <c r="E18" s="995">
        <f>SUBTOTAL(9,E14:E17)</f>
        <v>378</v>
      </c>
      <c r="F18" s="996">
        <f>IF(ISNUMBER(E18/B18),E18/B18," - ")</f>
        <v>189</v>
      </c>
      <c r="G18" s="995">
        <f>SUBTOTAL(9,G14:G17)</f>
        <v>327</v>
      </c>
      <c r="H18" s="996">
        <f>IF(ISNUMBER(G18/B18),G18/B18," - ")</f>
        <v>163.5</v>
      </c>
      <c r="I18" s="995">
        <f>SUBTOTAL(9,I14:I17)</f>
        <v>370</v>
      </c>
      <c r="J18" s="996">
        <f>IF(ISNUMBER(I18/B18),I18/B18," - ")</f>
        <v>185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660</v>
      </c>
      <c r="D19" s="941" t="str">
        <f>IF(ISNUMBER(C19/Datos!BI19),C19/Datos!BI19," - ")</f>
        <v xml:space="preserve"> - </v>
      </c>
      <c r="E19" s="940">
        <f>SUBTOTAL(9,E9:E18)</f>
        <v>472</v>
      </c>
      <c r="F19" s="941">
        <f>IF(ISNUMBER(E19/B19),E19/B19," - ")</f>
        <v>236</v>
      </c>
      <c r="G19" s="940">
        <f>SUBTOTAL(9,G9:G18)</f>
        <v>407</v>
      </c>
      <c r="H19" s="941">
        <f>IF(ISNUMBER(G19/B19),G19/B19," - ")</f>
        <v>203.5</v>
      </c>
      <c r="I19" s="940">
        <f>SUBTOTAL(9,I9:I18)</f>
        <v>726</v>
      </c>
      <c r="J19" s="941">
        <f>IF(ISNUMBER(I19/B19),I19/B19," - ")</f>
        <v>363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XE8iNYF02SoJCu5YJ7M44FSiySDyRfbKCDwGDsWMRzjpkhtyZPDG9X5d0XnHHFthu93ElT1zCuRwz3alcUPog==" saltValue="oxsTcRYQN54CCaRhmhJH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ORGIVA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33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8.9873417721518987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3.1358885017421602E-2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v>
      </c>
      <c r="AE13" s="1085">
        <f t="shared" si="1"/>
        <v>0</v>
      </c>
      <c r="AF13" s="1085">
        <f t="shared" si="1"/>
        <v>1</v>
      </c>
      <c r="AG13" s="1085">
        <f t="shared" si="1"/>
        <v>0</v>
      </c>
      <c r="AH13" s="1085">
        <f t="shared" si="1"/>
        <v>592</v>
      </c>
      <c r="AI13" s="1085">
        <f t="shared" si="1"/>
        <v>0</v>
      </c>
      <c r="AJ13" s="1085">
        <f t="shared" si="1"/>
        <v>0</v>
      </c>
      <c r="AK13" s="1085">
        <f t="shared" si="1"/>
        <v>0</v>
      </c>
      <c r="AL13" s="1085">
        <f t="shared" si="1"/>
        <v>16</v>
      </c>
      <c r="AM13" s="1085">
        <f t="shared" si="1"/>
        <v>33</v>
      </c>
      <c r="AN13" s="1085">
        <f t="shared" si="1"/>
        <v>0</v>
      </c>
      <c r="AO13" s="1085">
        <f t="shared" si="1"/>
        <v>0</v>
      </c>
      <c r="AP13" s="1090">
        <f>IF(ISNUMBER(((Datos!L13/Datos!K13)*11)/factor_trimestre),((Datos!L13/Datos!K13)*11)/factor_trimestre," - ")</f>
        <v>9.3972602739726021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3.1358885017421602E-2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2.2629969418960245</v>
      </c>
      <c r="AQ18" s="1090">
        <f>IF(ISNUMBER(((Datos!M18/Datos!L18)*11)/factor_trimestre),((Datos!M18/Datos!L18)*11)/factor_trimestre," - ")</f>
        <v>0.11351351351351352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4.4444444444444446E-2</v>
      </c>
      <c r="AW18" s="1092">
        <f>IF(ISNUMBER((Datos!Q18-Datos!R18)/(Datos!S18-Datos!Q18+Datos!R18)),(Datos!Q18-Datos!R18)/(Datos!S18-Datos!Q18+Datos!R18)," - ")</f>
        <v>-0.20476190476190476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v>
      </c>
      <c r="AE19" s="1103">
        <f t="shared" si="5"/>
        <v>0</v>
      </c>
      <c r="AF19" s="1104">
        <f t="shared" si="5"/>
        <v>1</v>
      </c>
      <c r="AG19" s="1104">
        <f t="shared" si="5"/>
        <v>0</v>
      </c>
      <c r="AH19" s="1104">
        <f t="shared" si="5"/>
        <v>592</v>
      </c>
      <c r="AI19" s="1104">
        <f t="shared" si="5"/>
        <v>0</v>
      </c>
      <c r="AJ19" s="1105">
        <f t="shared" si="5"/>
        <v>0</v>
      </c>
      <c r="AK19" s="1105">
        <f t="shared" si="5"/>
        <v>0</v>
      </c>
      <c r="AL19" s="1097">
        <f t="shared" si="5"/>
        <v>16</v>
      </c>
      <c r="AM19" s="1097">
        <f t="shared" si="5"/>
        <v>33</v>
      </c>
      <c r="AN19" s="1097">
        <f t="shared" si="5"/>
        <v>0</v>
      </c>
      <c r="AO19" s="1097">
        <f t="shared" si="5"/>
        <v>0</v>
      </c>
      <c r="AP19" s="1097">
        <f>IF(ISNUMBER(((Datos!L19/Datos!K19)*11)/factor_trimestre),((Datos!L19/Datos!K19)*11)/factor_trimestre," - ")</f>
        <v>3.5649999999999995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3.2258064516129031E-2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8.6794777108610237</v>
      </c>
      <c r="AM21" s="869"/>
      <c r="AN21" s="869">
        <f>IF(ISNUMBER(STDEV(AN8:AN18)),STDEV(AN8:AN18),"-")</f>
        <v>0</v>
      </c>
      <c r="AO21" s="875">
        <f>IF(ISNUMBER(STDEV(AO8:AO18)),STDEV(AO8:AO18),"-")</f>
        <v>0</v>
      </c>
      <c r="AP21" s="922">
        <f>IF(ISNUMBER(STDEV(AP8:AP18)),STDEV(AP8:AP18),"-")</f>
        <v>4.0814022494208917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6iYSAzIfTNa+yfT+HA99YNahtE0ED86DJwMa3pjr4N/P4W7hp+rRjGUbbD6RaAh7bSwEXoOgMcP8gXBYEeNHw==" saltValue="vH3SHUGK8OUuvMHb7N1c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ORGIVA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zFkUZVX0bcm1nz5zDpg1uL6v13HPEtaBz0rIa4h4/DtQWchSwG4o251rNDcW+G9Am2mW5XRagO8OvO8plL+aA==" saltValue="8MzSAiR9dKGX97SWqUdh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ORGIVA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15</v>
      </c>
      <c r="E12" s="415">
        <f t="shared" si="0"/>
        <v>7.5</v>
      </c>
      <c r="F12" s="414">
        <f>IF(ISNUMBER(Datos!N12),Datos!N12," - ")</f>
        <v>33</v>
      </c>
      <c r="G12" s="415">
        <f t="shared" si="1"/>
        <v>16.5</v>
      </c>
      <c r="H12" s="414">
        <f>IF(ISNUMBER(Datos!O12),Datos!O12," - ")</f>
        <v>46</v>
      </c>
      <c r="I12" s="415">
        <f t="shared" si="2"/>
        <v>23</v>
      </c>
    </row>
    <row r="13" spans="1:9" ht="14.25" thickTop="1" thickBot="1">
      <c r="A13" s="994" t="str">
        <f>Datos!A13</f>
        <v>TOTAL</v>
      </c>
      <c r="B13" s="995">
        <f>Datos!AO13</f>
        <v>3</v>
      </c>
      <c r="C13" s="997">
        <f>Datos!AR13</f>
        <v>2</v>
      </c>
      <c r="D13" s="995">
        <f>SUBTOTAL(9,D9:D12)</f>
        <v>16</v>
      </c>
      <c r="E13" s="996">
        <f t="shared" si="0"/>
        <v>5.333333333333333</v>
      </c>
      <c r="F13" s="995">
        <f>SUBTOTAL(9,F9:F12)</f>
        <v>33</v>
      </c>
      <c r="G13" s="996">
        <f t="shared" si="1"/>
        <v>11</v>
      </c>
      <c r="H13" s="995">
        <f>SUBTOTAL(9,H9:H12)</f>
        <v>46</v>
      </c>
      <c r="I13" s="996">
        <f>IF(ISNUMBER(H13/B13),H13/B13," - ")</f>
        <v>15.333333333333334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16</v>
      </c>
      <c r="E16" s="415">
        <f t="shared" si="3"/>
        <v>8</v>
      </c>
      <c r="F16" s="414">
        <f>IF(ISNUMBER(Datos!N16),Datos!N16," - ")</f>
        <v>245</v>
      </c>
      <c r="G16" s="415">
        <f t="shared" si="4"/>
        <v>122.5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21</v>
      </c>
      <c r="E18" s="996">
        <f t="shared" si="3"/>
        <v>7</v>
      </c>
      <c r="F18" s="995">
        <f>SUBTOTAL(9,F15:F17)</f>
        <v>259</v>
      </c>
      <c r="G18" s="996">
        <f t="shared" si="4"/>
        <v>86.333333333333329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37</v>
      </c>
      <c r="E19" s="941">
        <f>IF(ISNUMBER(D19/B19),D19/B19," - ")</f>
        <v>18.5</v>
      </c>
      <c r="F19" s="940">
        <f>SUBTOTAL(9,F8:F18)</f>
        <v>292</v>
      </c>
      <c r="G19" s="941">
        <f>IF(ISNUMBER(F19/B19),F19/B19," - ")</f>
        <v>146</v>
      </c>
      <c r="H19" s="940">
        <f>SUBTOTAL(9,H8:H18)</f>
        <v>46</v>
      </c>
      <c r="I19" s="941">
        <f>IF(ISNUMBER(H19/B19),H19/B19," - ")</f>
        <v>23</v>
      </c>
    </row>
    <row r="22" spans="1:9">
      <c r="A22" s="402" t="str">
        <f>Criterios!A4</f>
        <v>Fecha Informe: 29 nov. 2023</v>
      </c>
    </row>
    <row r="27" spans="1:9">
      <c r="A27" s="425"/>
    </row>
  </sheetData>
  <sheetProtection algorithmName="SHA-512" hashValue="IPoXKQobz4GVVdFFDq5JSP6fujfcQ+hlRRG/hj0ZUsR8cJ/3zx/kEd+PrZEEu5V5LLIdxUXjAXv3VNcWcxasJw==" saltValue="KN77i2gRt5yRFLBynZM8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ORGIVA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v>
      </c>
      <c r="C12" s="450">
        <f>IF(ISNUMBER(Datos!Q12),Datos!Q12," - ")</f>
        <v>12</v>
      </c>
      <c r="D12" s="419">
        <f>IF(ISNUMBER(Datos!R12),Datos!R12," - ")</f>
        <v>592</v>
      </c>
    </row>
    <row r="13" spans="1:4" ht="14.25" thickTop="1" thickBot="1">
      <c r="A13" s="994" t="str">
        <f>Datos!A13</f>
        <v>TOTAL</v>
      </c>
      <c r="B13" s="995">
        <f>SUBTOTAL(9,B9:B12)</f>
        <v>30</v>
      </c>
      <c r="C13" s="999">
        <f>SUBTOTAL(9,C9:C12)</f>
        <v>12</v>
      </c>
      <c r="D13" s="997">
        <f>SUBTOTAL(9,D9:D12)</f>
        <v>593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4</v>
      </c>
      <c r="D16" s="419">
        <f>IF(ISNUMBER(Datos!R16),Datos!R16," - ")</f>
        <v>45</v>
      </c>
    </row>
    <row r="17" spans="1:4" ht="13.5" thickBot="1">
      <c r="A17" s="413" t="str">
        <f>Datos!A17</f>
        <v>Jdos. Violencia contra la mujer</v>
      </c>
      <c r="B17" s="449">
        <f>IF(ISNUMBER(Datos!P17),Datos!P17," - ")</f>
        <v>1</v>
      </c>
      <c r="C17" s="450">
        <f>IF(ISNUMBER(Datos!Q17),Datos!Q17," - ")</f>
        <v>0</v>
      </c>
      <c r="D17" s="419">
        <f>IF(ISNUMBER(Datos!R17),Datos!R17," - ")</f>
        <v>2</v>
      </c>
    </row>
    <row r="18" spans="1:4" ht="14.25" thickTop="1" thickBot="1">
      <c r="A18" s="994" t="str">
        <f>Datos!A18</f>
        <v>TOTAL</v>
      </c>
      <c r="B18" s="995">
        <f>SUBTOTAL(9,B15:B17)</f>
        <v>6</v>
      </c>
      <c r="C18" s="999">
        <f>SUBTOTAL(9,C15:C17)</f>
        <v>4</v>
      </c>
      <c r="D18" s="997">
        <f>SUBTOTAL(9,D15:D17)</f>
        <v>47</v>
      </c>
    </row>
    <row r="19" spans="1:4" ht="16.5" customHeight="1" thickTop="1" thickBot="1">
      <c r="A19" s="939" t="str">
        <f>Datos!A19</f>
        <v>TOTAL JURISDICCIONES</v>
      </c>
      <c r="B19" s="944">
        <f>SUBTOTAL(9,B8:B18)</f>
        <v>36</v>
      </c>
      <c r="C19" s="945">
        <f>SUBTOTAL(9,C8:C18)</f>
        <v>16</v>
      </c>
      <c r="D19" s="946">
        <f>SUBTOTAL(9,D8:D18)</f>
        <v>640</v>
      </c>
    </row>
    <row r="20" spans="1:4" ht="7.5" customHeight="1"/>
    <row r="21" spans="1:4" ht="6" customHeight="1"/>
    <row r="22" spans="1:4">
      <c r="A22" s="402" t="str">
        <f>Criterios!A4</f>
        <v>Fecha Informe: 29 nov. 2023</v>
      </c>
    </row>
    <row r="27" spans="1:4">
      <c r="A27" s="425"/>
    </row>
  </sheetData>
  <sheetProtection algorithmName="SHA-512" hashValue="jBdovCWQMEJOy40UkklTg15966Ag7f+ShEV/j+dUcyoG1FtmYavoQCtTZKLUtCGVXnguxEE+Fsr3HTN3vhksEg==" saltValue="skA4WzilBLe0/9jVH1HI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ORGIVA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0.39754098360655737</v>
      </c>
      <c r="C12" s="472">
        <f>IF(ISNUMBER(
   IF(J_V="SI",(Datos!J12-Datos!T12)/Datos!T12,(Datos!J12+Datos!Z12-(Datos!T12+Datos!AH12))/(Datos!T12+Datos!AH12))
     ),IF(J_V="SI",(Datos!J12-Datos!T12)/Datos!T12,(Datos!J12+Datos!Z12-(Datos!T12+Datos!AH12))/(Datos!T12+Datos!AH12))," - ")</f>
        <v>-0.53500000000000003</v>
      </c>
      <c r="D12" s="472">
        <f>IF(ISNUMBER(
   IF(J_V="SI",(Datos!K12-Datos!U12)/Datos!U12,(Datos!K12+Datos!AA12-(Datos!U12+Datos!AI12))/(Datos!U12+Datos!AI12))
     ),IF(J_V="SI",(Datos!K12-Datos!U12)/Datos!U12,(Datos!K12+Datos!AA12-(Datos!U12+Datos!AI12))/(Datos!U12+Datos!AI12))," - ")</f>
        <v>-0.39694656488549618</v>
      </c>
      <c r="E12" s="472">
        <f>IF(ISNUMBER(
   IF(J_V="SI",(Datos!L12-Datos!V12)/Datos!V12,(Datos!L12+Datos!AB12-(Datos!V12+Datos!AJ12))/(Datos!V12+Datos!AJ12))
     ),IF(J_V="SI",(Datos!L12-Datos!V12)/Datos!V12,(Datos!L12+Datos!AB12-(Datos!V12+Datos!AJ12))/(Datos!V12+Datos!AJ12))," - ")</f>
        <v>0.13057324840764331</v>
      </c>
      <c r="F12" s="472">
        <f>IF(ISNUMBER((Datos!M12-Datos!W12)/Datos!W12),(Datos!M12-Datos!W12)/Datos!W12," - ")</f>
        <v>-0.31818181818181818</v>
      </c>
      <c r="G12" s="473">
        <f>IF(ISNUMBER((Datos!N12-Datos!X12)/Datos!X12),(Datos!N12-Datos!X12)/Datos!X12," - ")</f>
        <v>-0.13157894736842105</v>
      </c>
      <c r="H12" s="471">
        <f>IF(ISNUMBER(((NºAsuntos!G12/NºAsuntos!E12)-Datos!BD12)/Datos!BD12),((NºAsuntos!G12/NºAsuntos!E12)-Datos!BD12)/Datos!BD12," - ")</f>
        <v>0.29688910777312649</v>
      </c>
      <c r="I12" s="472">
        <f>IF(ISNUMBER(((NºAsuntos!I12/NºAsuntos!G12)-Datos!BE12)/Datos!BE12),((NºAsuntos!I12/NºAsuntos!G12)-Datos!BE12)/Datos!BE12," - ")</f>
        <v>0.87474804482786406</v>
      </c>
      <c r="J12" s="477">
        <f>IF(ISNUMBER((('Resol  Asuntos'!D12/NºAsuntos!G12)-Datos!BF12)/Datos!BF12),(('Resol  Asuntos'!D12/NºAsuntos!G12)-Datos!BF12)/Datos!BF12," - ")</f>
        <v>-0.34543637574950026</v>
      </c>
      <c r="K12" s="478">
        <f>IF(ISNUMBER((((NºAsuntos!C12+NºAsuntos!E12)/NºAsuntos!G12)-Datos!BG12)/Datos!BG12),(((NºAsuntos!C12+NºAsuntos!E12)/NºAsuntos!G12)-Datos!BG12)/Datos!BG12," - ")</f>
        <v>0.62088037404493102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0.3902439024390244</v>
      </c>
      <c r="C13" s="1001">
        <f>IF(ISNUMBER(
   IF(J_V="SI",(Datos!J13-Datos!T13)/Datos!T13,(Datos!J13+Datos!Z13-(Datos!T13+Datos!AH13))/(Datos!T13+Datos!AH13))
     ),IF(J_V="SI",(Datos!J13-Datos!T13)/Datos!T13,(Datos!J13+Datos!Z13-(Datos!T13+Datos!AH13))/(Datos!T13+Datos!AH13))," - ")</f>
        <v>-0.53</v>
      </c>
      <c r="D13" s="1001">
        <f>IF(ISNUMBER(
   IF(J_V="SI",(Datos!K13-Datos!U13)/Datos!U13,(Datos!K13+Datos!AA13-(Datos!U13+Datos!AI13))/(Datos!U13+Datos!AI13))
     ),IF(J_V="SI",(Datos!K13-Datos!U13)/Datos!U13,(Datos!K13+Datos!AA13-(Datos!U13+Datos!AI13))/(Datos!U13+Datos!AI13))," - ")</f>
        <v>-0.38931297709923662</v>
      </c>
      <c r="E13" s="1001">
        <f>IF(ISNUMBER(
   IF(J_V="SI",(Datos!L13-Datos!V13)/Datos!V13,(Datos!L13+Datos!AB13-(Datos!V13+Datos!AJ13))/(Datos!V13+Datos!AJ13))
     ),IF(J_V="SI",(Datos!L13-Datos!V13)/Datos!V13,(Datos!L13+Datos!AB13-(Datos!V13+Datos!AJ13))/(Datos!V13+Datos!AJ13))," - ")</f>
        <v>0.12658227848101267</v>
      </c>
      <c r="F13" s="1002">
        <f>IF(ISNUMBER((Datos!M13-Datos!W13)/Datos!W13),(Datos!M13-Datos!W13)/Datos!W13," - ")</f>
        <v>-0.27272727272727271</v>
      </c>
      <c r="G13" s="1003">
        <f>IF(ISNUMBER((Datos!N13-Datos!X13)/Datos!X13),(Datos!N13-Datos!X13)/Datos!X13," - ")</f>
        <v>-0.13157894736842105</v>
      </c>
      <c r="H13" s="1003">
        <f>IF(ISNUMBER(((NºAsuntos!G13/NºAsuntos!E13)-Datos!BD13)/Datos!BD13),((NºAsuntos!G13/NºAsuntos!E13)-Datos!BD13)/Datos!BD13," - ")</f>
        <v>0.29933409127821986</v>
      </c>
      <c r="I13" s="1003">
        <f>IF(ISNUMBER(((NºAsuntos!I13/NºAsuntos!G13)-Datos!BE13)/Datos!BE13),((NºAsuntos!I13/NºAsuntos!G13)-Datos!BE13)/Datos!BE13," - ")</f>
        <v>0.84477848101265829</v>
      </c>
      <c r="J13" s="1003">
        <f>IF(ISNUMBER((('Resol  Asuntos'!D13/NºAsuntos!G13)-Datos!BF13)/Datos!BF13),(('Resol  Asuntos'!D13/NºAsuntos!G13)-Datos!BF13)/Datos!BF13," - ")</f>
        <v>-0.31052631578947359</v>
      </c>
      <c r="K13" s="1003">
        <f>IF(ISNUMBER((((NºAsuntos!C13+NºAsuntos!E13)/NºAsuntos!G13)-Datos!BG13)/Datos!BG13),(((NºAsuntos!C13+NºAsuntos!E13)/NºAsuntos!G13)-Datos!BG13)/Datos!BG13," - ")</f>
        <v>0.60078475336322867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0.97419354838709682</v>
      </c>
      <c r="C16" s="472">
        <f>IF(ISNUMBER(
   IF(D_I="SI",(Datos!J16-Datos!T16)/Datos!T16,(Datos!J16+Datos!AD16-(Datos!T16+Datos!AL16))/(Datos!T16+Datos!AL16))
     ),IF(D_I="SI",(Datos!J16-Datos!T16)/Datos!T16,(Datos!J16+Datos!AD16-(Datos!T16+Datos!AL16))/(Datos!T16+Datos!AL16))," - ")</f>
        <v>-0.12658227848101267</v>
      </c>
      <c r="D16" s="472">
        <f>IF(ISNUMBER(
   IF(D_I="SI",(Datos!K16-Datos!U16)/Datos!U16,(Datos!K16+Datos!AE16-(Datos!U16+Datos!AM16))/(Datos!U16+Datos!AM16))
     ),IF(D_I="SI",(Datos!K16-Datos!U16)/Datos!U16,(Datos!K16+Datos!AE16-(Datos!U16+Datos!AM16))/(Datos!U16+Datos!AM16))," - ")</f>
        <v>-0.12166172106824925</v>
      </c>
      <c r="E16" s="472">
        <f>IF(ISNUMBER(
   IF(D_I="SI",(Datos!L16-Datos!V16)/Datos!V16,(Datos!L16+Datos!AF16-(Datos!V16+Datos!AN16))/(Datos!V16+Datos!AN16))
     ),IF(D_I="SI",(Datos!L16-Datos!V16)/Datos!V16,(Datos!L16+Datos!AF16-(Datos!V16+Datos!AN16))/(Datos!V16+Datos!AN16))," - ")</f>
        <v>0.67136150234741787</v>
      </c>
      <c r="F16" s="472">
        <f>IF(ISNUMBER((Datos!M16-Datos!W16)/Datos!W16),(Datos!M16-Datos!W16)/Datos!W16," - ")</f>
        <v>-0.38461538461538464</v>
      </c>
      <c r="G16" s="473">
        <f>IF(ISNUMBER((Datos!N16-Datos!X16)/Datos!X16),(Datos!N16-Datos!X16)/Datos!X16," - ")</f>
        <v>4.7008547008547008E-2</v>
      </c>
      <c r="H16" s="471">
        <f>IF(ISNUMBER(((NºAsuntos!G16/NºAsuntos!E16)-Datos!BD16)/Datos!BD16),((NºAsuntos!G16/NºAsuntos!E16)-Datos!BD16)/Datos!BD16," - ")</f>
        <v>5.6336816754827034E-3</v>
      </c>
      <c r="I16" s="472">
        <f>IF(ISNUMBER(((NºAsuntos!I16/NºAsuntos!G16)-Datos!BE16)/Datos!BE16),((NºAsuntos!I16/NºAsuntos!G16)-Datos!BE16)/Datos!BE16," - ")</f>
        <v>0.90286765638878319</v>
      </c>
      <c r="J16" s="477">
        <f>IF(ISNUMBER((('Resol  Asuntos'!D16/NºAsuntos!G16)-Datos!BF16)/Datos!BF16),(('Resol  Asuntos'!D16/NºAsuntos!G16)-Datos!BF16)/Datos!BF16," - ")</f>
        <v>-0.29937629937629934</v>
      </c>
      <c r="K16" s="478">
        <f>IF(ISNUMBER((((NºAsuntos!C16+NºAsuntos!E16)/NºAsuntos!G16)-Datos!BG16)/Datos!BG16),(((NºAsuntos!C16+NºAsuntos!E16)/NºAsuntos!G16)-Datos!BG16)/Datos!BG16," - ")</f>
        <v>0.34758599508599503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0.32</v>
      </c>
      <c r="D17" s="472">
        <f>IF(ISNUMBER(
   IF(D_I="SI",(Datos!K17-Datos!U17)/Datos!U17,(Datos!K17+Datos!AE17-(Datos!U17+Datos!AM17))/(Datos!U17+Datos!AM17))
     ),IF(D_I="SI",(Datos!K17-Datos!U17)/Datos!U17,(Datos!K17+Datos!AE17-(Datos!U17+Datos!AM17))/(Datos!U17+Datos!AM17))," - ")</f>
        <v>0.19230769230769232</v>
      </c>
      <c r="E17" s="472">
        <f>IF(ISNUMBER(
   IF(D_I="SI",(Datos!L17-Datos!V17)/Datos!V17,(Datos!L17+Datos!AF17-(Datos!V17+Datos!AN17))/(Datos!V17+Datos!AN17))
     ),IF(D_I="SI",(Datos!L17-Datos!V17)/Datos!V17,(Datos!L17+Datos!AF17-(Datos!V17+Datos!AN17))/(Datos!V17+Datos!AN17))," - ")</f>
        <v>0.27272727272727271</v>
      </c>
      <c r="F17" s="472">
        <f>IF(ISNUMBER((Datos!M17-Datos!W17)/Datos!W17),(Datos!M17-Datos!W17)/Datos!W17," - ")</f>
        <v>1.5</v>
      </c>
      <c r="G17" s="473">
        <f>IF(ISNUMBER((Datos!N17-Datos!X17)/Datos!X17),(Datos!N17-Datos!X17)/Datos!X17," - ")</f>
        <v>1</v>
      </c>
      <c r="H17" s="471">
        <f>IF(ISNUMBER(((NºAsuntos!G17/NºAsuntos!E17)-Datos!BD17)/Datos!BD17),((NºAsuntos!G17/NºAsuntos!E17)-Datos!BD17)/Datos!BD17," - ")</f>
        <v>-9.6736596736596722E-2</v>
      </c>
      <c r="I17" s="472">
        <f>IF(ISNUMBER(((NºAsuntos!I17/NºAsuntos!G17)-Datos!BE17)/Datos!BE17),((NºAsuntos!I17/NºAsuntos!G17)-Datos!BE17)/Datos!BE17," - ")</f>
        <v>6.744868035190614E-2</v>
      </c>
      <c r="J17" s="477">
        <f>IF(ISNUMBER((('Resol  Asuntos'!D17/NºAsuntos!G17)-Datos!BF17)/Datos!BF17),(('Resol  Asuntos'!D17/NºAsuntos!G17)-Datos!BF17)/Datos!BF17," - ")</f>
        <v>1.096774193548387</v>
      </c>
      <c r="K17" s="478">
        <f>IF(ISNUMBER((((NºAsuntos!C17+NºAsuntos!E17)/NºAsuntos!G17)-Datos!BG17)/Datos!BG17),(((NºAsuntos!C17+NºAsuntos!E17)/NºAsuntos!G17)-Datos!BG17)/Datos!BG17," - ")</f>
        <v>2.0052310374891014E-2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0.90419161676646709</v>
      </c>
      <c r="C18" s="1001">
        <f>IF(ISNUMBER(
   IF(Criterios!B14="SI",(Datos!J18-Datos!T18)/Datos!T18,(Datos!J18+Datos!AD18-(Datos!T18+Datos!AL18))/(Datos!T18+Datos!AL18))
     ),IF(Criterios!B14="SI",(Datos!J18-Datos!T18)/Datos!T18,(Datos!J18+Datos!AD18-(Datos!T18+Datos!AL18))/(Datos!T18+Datos!AL18))," - ")</f>
        <v>-0.1</v>
      </c>
      <c r="D18" s="1001">
        <f>IF(ISNUMBER(
   IF(Criterios!B14="SI",(Datos!K18-Datos!U18)/Datos!U18,(Datos!K18+Datos!AE18-(Datos!U18+Datos!AM18))/(Datos!U18+Datos!AM18))
     ),IF(Criterios!B14="SI",(Datos!K18-Datos!U18)/Datos!U18,(Datos!K18+Datos!AE18-(Datos!U18+Datos!AM18))/(Datos!U18+Datos!AM18))," - ")</f>
        <v>-9.9173553719008267E-2</v>
      </c>
      <c r="E18" s="1001">
        <f>IF(ISNUMBER(
   IF(Criterios!B14="SI",(Datos!L18-Datos!V18)/Datos!V18,(Datos!L18+Datos!AF18-(Datos!V18+Datos!AN18))/(Datos!V18+Datos!AN18))
     ),IF(Criterios!B14="SI",(Datos!L18-Datos!V18)/Datos!V18,(Datos!L18+Datos!AF18-(Datos!V18+Datos!AN18))/(Datos!V18+Datos!AN18))," - ")</f>
        <v>0.6517857142857143</v>
      </c>
      <c r="F18" s="1002">
        <f>IF(ISNUMBER((Datos!M18-Datos!W18)/Datos!W18),(Datos!M18-Datos!W18)/Datos!W18," - ")</f>
        <v>-0.25</v>
      </c>
      <c r="G18" s="1003">
        <f>IF(ISNUMBER((Datos!N18-Datos!X18)/Datos!X18),(Datos!N18-Datos!X18)/Datos!X18," - ")</f>
        <v>7.4688796680497924E-2</v>
      </c>
      <c r="H18" s="1003">
        <f>IF(ISNUMBER(((NºAsuntos!G18/NºAsuntos!E18)-Datos!BD18)/Datos!BD18),((NºAsuntos!G18/NºAsuntos!E18)-Datos!BD18)/Datos!BD18," - ")</f>
        <v>9.1827364554636956E-4</v>
      </c>
      <c r="I18" s="1003">
        <f>IF(ISNUMBER(((NºAsuntos!I18/NºAsuntos!G18)-Datos!BE18)/Datos!BE18),((NºAsuntos!I18/NºAsuntos!G18)-Datos!BE18)/Datos!BE18," - ")</f>
        <v>0.83363368283093053</v>
      </c>
      <c r="J18" s="1003">
        <f>IF(ISNUMBER((('Resol  Asuntos'!D18/NºAsuntos!G18)-Datos!BF18)/Datos!BF18),(('Resol  Asuntos'!D18/NºAsuntos!G18)-Datos!BF18)/Datos!BF18," - ")</f>
        <v>-0.16743119266055043</v>
      </c>
      <c r="K18" s="1003">
        <f>IF(ISNUMBER((((NºAsuntos!C18+NºAsuntos!E18)/NºAsuntos!G18)-Datos!BG18)/Datos!BG18),(((NºAsuntos!C18+NºAsuntos!E18)/NºAsuntos!G18)-Datos!BG18)/Datos!BG18," - ")</f>
        <v>0.3162246221652627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0.59806295399515741</v>
      </c>
      <c r="C19" s="948">
        <f>IF(ISNUMBER(
   IF(J_V="SI",(Datos!J19-Datos!T19)/Datos!T19,(Datos!J19+Datos!Z19-(Datos!T19+Datos!AH19))/(Datos!T19+Datos!AH19))
     ),IF(J_V="SI",(Datos!J19-Datos!T19)/Datos!T19,(Datos!J19+Datos!Z19-(Datos!T19+Datos!AH19))/(Datos!T19+Datos!AH19))," - ")</f>
        <v>-0.23870967741935484</v>
      </c>
      <c r="D19" s="948">
        <f>IF(ISNUMBER(
   IF(J_V="SI",(Datos!K19-Datos!U19)/Datos!U19,(Datos!K19+Datos!AA19-(Datos!U19+Datos!AI19))/(Datos!U19+Datos!AI19))
     ),IF(J_V="SI",(Datos!K19-Datos!U19)/Datos!U19,(Datos!K19+Datos!AA19-(Datos!U19+Datos!AI19))/(Datos!U19+Datos!AI19))," - ")</f>
        <v>-0.17611336032388664</v>
      </c>
      <c r="E19" s="948">
        <f>IF(ISNUMBER(
   IF(J_V="SI",(Datos!L19-Datos!V19)/Datos!V19,(Datos!L19+Datos!AB19-(Datos!V19+Datos!AJ19))/(Datos!V19+Datos!AJ19))
     ),IF(J_V="SI",(Datos!L19-Datos!V19)/Datos!V19,(Datos!L19+Datos!AB19-(Datos!V19+Datos!AJ19))/(Datos!V19+Datos!AJ19))," - ")</f>
        <v>0.34444444444444444</v>
      </c>
      <c r="F19" s="949">
        <f>IF(ISNUMBER((Datos!M19-Datos!W19)/Datos!W19),(Datos!M19-Datos!W19)/Datos!W19," - ")</f>
        <v>-0.26</v>
      </c>
      <c r="G19" s="950">
        <f>IF(ISNUMBER((Datos!N19-Datos!X19)/Datos!X19),(Datos!N19-Datos!X19)/Datos!X19," - ")</f>
        <v>4.6594982078853049E-2</v>
      </c>
      <c r="H19" s="951">
        <f>IF(ISNUMBER((Tasas!B19-Datos!BD19)/Datos!BD19),(Tasas!B19-Datos!BD19)/Datos!BD19," - ")</f>
        <v>8.2223975845742189E-2</v>
      </c>
      <c r="I19" s="952">
        <f>IF(ISNUMBER((Tasas!C19-Datos!BE19)/Datos!BE19),(Tasas!C19-Datos!BE19)/Datos!BE19," - ")</f>
        <v>0.63183183183183167</v>
      </c>
      <c r="J19" s="953">
        <f>IF(ISNUMBER((Tasas!D19-Datos!BF19)/Datos!BF19),(Tasas!D19-Datos!BF19)/Datos!BF19," - ")</f>
        <v>-0.31955922865013781</v>
      </c>
      <c r="K19" s="953">
        <f>IF(ISNUMBER((Tasas!E19-Datos!BG19)/Datos!BG19),(Tasas!E19-Datos!BG19)/Datos!BG19," - ")</f>
        <v>0.33008270084746372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foMGXcF7JlMQQvBpumxDDVeptNaHnMRlxBN26ugi+618/CW922oSpvtNjgBfmhoRiZDNHLOFL+YG2EkdGITQ==" saltValue="brueOIdELWDW2TQ7KLj/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ORGIVA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0.84946236559139787</v>
      </c>
      <c r="C12" s="459">
        <f>IF(ISNUMBER(NºAsuntos!I12/NºAsuntos!G12),NºAsuntos!I12/NºAsuntos!G12," - ")</f>
        <v>4.4936708860759493</v>
      </c>
      <c r="D12" s="460">
        <f>IF(ISNUMBER('Resol  Asuntos'!D12/NºAsuntos!G12),'Resol  Asuntos'!D12/NºAsuntos!G12," - ")</f>
        <v>0.189873417721519</v>
      </c>
      <c r="E12" s="461">
        <f>IF(ISNUMBER((NºAsuntos!C12+NºAsuntos!E12)/NºAsuntos!G12),(NºAsuntos!C12+NºAsuntos!E12)/NºAsuntos!G12," - ")</f>
        <v>5.4936708860759493</v>
      </c>
      <c r="G12" s="479"/>
    </row>
    <row r="13" spans="1:7" ht="14.25" thickTop="1" thickBot="1">
      <c r="A13" s="994" t="str">
        <f>Datos!A13</f>
        <v>TOTAL</v>
      </c>
      <c r="B13" s="1004">
        <f>IF(ISNUMBER(NºAsuntos!G13/NºAsuntos!E13),NºAsuntos!G13/NºAsuntos!E13," - ")</f>
        <v>0.85106382978723405</v>
      </c>
      <c r="C13" s="1005">
        <f>IF(ISNUMBER(NºAsuntos!I13/NºAsuntos!G13),NºAsuntos!I13/NºAsuntos!G13," - ")</f>
        <v>4.45</v>
      </c>
      <c r="D13" s="1006">
        <f>IF(ISNUMBER('Resol  Asuntos'!D13/NºAsuntos!G13),'Resol  Asuntos'!D13/NºAsuntos!G13," - ")</f>
        <v>0.2</v>
      </c>
      <c r="E13" s="1007">
        <f>IF(ISNUMBER((NºAsuntos!C13+NºAsuntos!E13)/NºAsuntos!G13),(NºAsuntos!C13+NºAsuntos!E13)/NºAsuntos!G13," - ")</f>
        <v>5.45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0.85797101449275359</v>
      </c>
      <c r="C16" s="459">
        <f>IF(ISNUMBER(NºAsuntos!I16/NºAsuntos!G16),NºAsuntos!I16/NºAsuntos!G16," - ")</f>
        <v>1.2027027027027026</v>
      </c>
      <c r="D16" s="460">
        <f>IF(ISNUMBER('Resol  Asuntos'!D16/NºAsuntos!G16),'Resol  Asuntos'!D16/NºAsuntos!G16," - ")</f>
        <v>5.4054054054054057E-2</v>
      </c>
      <c r="E16" s="461">
        <f>IF(ISNUMBER((NºAsuntos!C16+NºAsuntos!E16)/NºAsuntos!G16),(NºAsuntos!C16+NºAsuntos!E16)/NºAsuntos!G16," - ")</f>
        <v>2.1993243243243241</v>
      </c>
      <c r="G16" s="479"/>
    </row>
    <row r="17" spans="1:7" ht="13.5" thickBot="1">
      <c r="A17" s="413" t="str">
        <f>Datos!A17</f>
        <v>Jdos. Violencia contra la mujer</v>
      </c>
      <c r="B17" s="458">
        <f>IF(ISNUMBER(NºAsuntos!G17/NºAsuntos!E17),NºAsuntos!G17/NºAsuntos!E17," - ")</f>
        <v>0.93939393939393945</v>
      </c>
      <c r="C17" s="459">
        <f>IF(ISNUMBER(NºAsuntos!I17/NºAsuntos!G17),NºAsuntos!I17/NºAsuntos!G17," - ")</f>
        <v>0.45161290322580644</v>
      </c>
      <c r="D17" s="460">
        <f>IF(ISNUMBER('Resol  Asuntos'!D17/NºAsuntos!G17),'Resol  Asuntos'!D17/NºAsuntos!G17," - ")</f>
        <v>0.16129032258064516</v>
      </c>
      <c r="E17" s="461">
        <f>IF(ISNUMBER((NºAsuntos!C17+NºAsuntos!E17)/NºAsuntos!G17),(NºAsuntos!C17+NºAsuntos!E17)/NºAsuntos!G17," - ")</f>
        <v>1.4516129032258065</v>
      </c>
      <c r="G17" s="479"/>
    </row>
    <row r="18" spans="1:7" ht="14.25" thickTop="1" thickBot="1">
      <c r="A18" s="994" t="str">
        <f>Datos!A18</f>
        <v>TOTAL</v>
      </c>
      <c r="B18" s="1004">
        <f>IF(ISNUMBER(NºAsuntos!G18/NºAsuntos!E18),NºAsuntos!G18/NºAsuntos!E18," - ")</f>
        <v>0.86507936507936511</v>
      </c>
      <c r="C18" s="1005">
        <f>IF(ISNUMBER(NºAsuntos!I18/NºAsuntos!G18),NºAsuntos!I18/NºAsuntos!G18," - ")</f>
        <v>1.1314984709480123</v>
      </c>
      <c r="D18" s="1008">
        <f>IF(ISNUMBER('Resol  Asuntos'!D18/NºAsuntos!G18),'Resol  Asuntos'!D18/NºAsuntos!G18," - ")</f>
        <v>6.4220183486238536E-2</v>
      </c>
      <c r="E18" s="1007">
        <f>IF(ISNUMBER((NºAsuntos!C18+NºAsuntos!E18)/NºAsuntos!G18),(NºAsuntos!C18+NºAsuntos!E18)/NºAsuntos!G18," - ")</f>
        <v>2.1284403669724772</v>
      </c>
      <c r="G18" s="479"/>
    </row>
    <row r="19" spans="1:7" ht="15.75" customHeight="1" thickTop="1" thickBot="1">
      <c r="A19" s="939" t="str">
        <f>Datos!A19</f>
        <v>TOTAL JURISDICCIONES</v>
      </c>
      <c r="B19" s="954">
        <f>IF(ISNUMBER(NºAsuntos!G19/NºAsuntos!E19),NºAsuntos!G19/NºAsuntos!E19," - ")</f>
        <v>0.86228813559322037</v>
      </c>
      <c r="C19" s="955">
        <f>IF(ISNUMBER(NºAsuntos!I19/NºAsuntos!G19),NºAsuntos!I19/NºAsuntos!G19," - ")</f>
        <v>1.7837837837837838</v>
      </c>
      <c r="D19" s="956">
        <f>IF(ISNUMBER('Resol  Asuntos'!D19/NºAsuntos!G19),'Resol  Asuntos'!D19/NºAsuntos!G19," - ")</f>
        <v>9.0909090909090912E-2</v>
      </c>
      <c r="E19" s="957">
        <f>IF(ISNUMBER((NºAsuntos!C19+NºAsuntos!E19)/NºAsuntos!G19),(NºAsuntos!C19+NºAsuntos!E19)/NºAsuntos!G19," - ")</f>
        <v>2.7813267813267815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cKnw5lVHIbsUz0EriJsfzhBZSnCLNuGwyoUR2OYYGTiNcv6doQKxg3lCH5Ci2xsk3dJrIeab2b/S3Ajc2jUIA==" saltValue="Vc1a2EJeWSYk+moJbTj3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ORGIVA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1</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0.84946236559139787</v>
      </c>
      <c r="AM12" s="264">
        <f>IF(ISNUMBER(((NºAsuntos!I12/NºAsuntos!G12)*11)/factor_trimestre),((NºAsuntos!I12/NºAsuntos!G12)*11)/factor_trimestre," - ")</f>
        <v>8.9873417721518987</v>
      </c>
      <c r="AN12" s="248">
        <f>IF(ISNUMBER('Resol  Asuntos'!D12/NºAsuntos!G12),'Resol  Asuntos'!D12/NºAsuntos!G12," - ")</f>
        <v>0.189873417721519</v>
      </c>
      <c r="AO12" s="249">
        <f>IF(ISNUMBER((NºAsuntos!C12+NºAsuntos!E12)/NºAsuntos!G12),(NºAsuntos!C12+NºAsuntos!E12)/NºAsuntos!G12," - ")</f>
        <v>5.4936708860759493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v>
      </c>
      <c r="Y13" s="1014">
        <f t="shared" si="4"/>
        <v>13</v>
      </c>
      <c r="Z13" s="1014">
        <f t="shared" si="4"/>
        <v>0</v>
      </c>
      <c r="AA13" s="1014">
        <f t="shared" si="4"/>
        <v>1</v>
      </c>
      <c r="AB13" s="1014">
        <f t="shared" si="4"/>
        <v>593</v>
      </c>
      <c r="AC13" s="1014">
        <f t="shared" si="4"/>
        <v>2</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0.85106382978723405</v>
      </c>
      <c r="AM13" s="1020">
        <f>IF(ISNUMBER(((NºAsuntos!I13/NºAsuntos!G13)*11)/factor_trimestre),((NºAsuntos!I13/NºAsuntos!G13)*11)/factor_trimestre," - ")</f>
        <v>8.9</v>
      </c>
      <c r="AN13" s="1021">
        <f>IF(ISNUMBER('Resol  Asuntos'!D13/NºAsuntos!G13),'Resol  Asuntos'!D13/NºAsuntos!G13," - ")</f>
        <v>0.2</v>
      </c>
      <c r="AO13" s="1022">
        <f>IF(ISNUMBER((NºAsuntos!C13+NºAsuntos!E13)/NºAsuntos!G13),(NºAsuntos!C13+NºAsuntos!E13)/NºAsuntos!G13," - ")</f>
        <v>5.45</v>
      </c>
      <c r="AP13" s="1023" t="str">
        <f t="shared" si="2"/>
        <v xml:space="preserve"> - </v>
      </c>
      <c r="AQ13" s="1023">
        <f>IF(ISNUMBER((H13-W13+K13)/(F13)),(H13-W13+K13)/(F13)," - ")</f>
        <v>-1</v>
      </c>
      <c r="AR13" s="1024">
        <f>IF(ISNUMBER((Datos!P13-Datos!Q13)/(Datos!R13-Datos!P13+Datos!Q13)),(Datos!P13-Datos!Q13)/(Datos!R13-Datos!P13+Datos!Q13)," - ")</f>
        <v>3.1304347826086959E-2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307</v>
      </c>
      <c r="G16" s="342">
        <f>IF(ISNUMBER(IF(D_I="SI",Datos!I16,Datos!I16+Datos!AC16)),IF(D_I="SI",Datos!I16,Datos!I16+Datos!AC16)," - ")</f>
        <v>306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296</v>
      </c>
      <c r="X16" s="230">
        <f>IF(ISNUMBER(Datos!Q16),Datos!Q16," - ")</f>
        <v>4</v>
      </c>
      <c r="Y16" s="343">
        <f t="shared" ref="Y16:Y17" si="7">SUM(W16:X16)</f>
        <v>300</v>
      </c>
      <c r="Z16" s="344" t="str">
        <f>IF(ISNUMBER(Datos!CC16),Datos!CC16," - ")</f>
        <v xml:space="preserve"> - </v>
      </c>
      <c r="AA16" s="341">
        <f>IF(ISNUMBER(IF(D_I="SI",Datos!L16,Datos!L16+Datos!AF16)),IF(D_I="SI",Datos!L16,Datos!L16+Datos!AF16)," - ")</f>
        <v>356</v>
      </c>
      <c r="AB16" s="343">
        <f>IF(ISNUMBER(Datos!R16),Datos!R16," - ")</f>
        <v>45</v>
      </c>
      <c r="AC16" s="343">
        <f t="shared" si="6"/>
        <v>401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0.85797101449275359</v>
      </c>
      <c r="AM16" s="264">
        <f>IF(ISNUMBER(((NºAsuntos!I16/NºAsuntos!G16)*11)/factor_trimestre),((NºAsuntos!I16/NºAsuntos!G16)*11)/factor_trimestre," - ")</f>
        <v>2.4054054054054053</v>
      </c>
      <c r="AN16" s="248">
        <f>IF(ISNUMBER('Resol  Asuntos'!D16/NºAsuntos!G16),'Resol  Asuntos'!D16/NºAsuntos!G16," - ")</f>
        <v>5.4054054054054057E-2</v>
      </c>
      <c r="AO16" s="249">
        <f>IF(ISNUMBER((NºAsuntos!C16+NºAsuntos!E16)/NºAsuntos!G16),(NºAsuntos!C16+NºAsuntos!E16)/NºAsuntos!G16," - ")</f>
        <v>2.1993243243243241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v>
      </c>
      <c r="X17" s="230">
        <f>IF(ISNUMBER(Datos!Q17),Datos!Q17," - ")</f>
        <v>0</v>
      </c>
      <c r="Y17" s="343">
        <f t="shared" si="7"/>
        <v>31</v>
      </c>
      <c r="Z17" s="344" t="str">
        <f>IF(ISNUMBER(Datos!CC17),Datos!CC17," - ")</f>
        <v xml:space="preserve"> - </v>
      </c>
      <c r="AA17" s="341">
        <f>IF(ISNUMBER(Datos!L17),Datos!L17,"-")</f>
        <v>14</v>
      </c>
      <c r="AB17" s="343">
        <f>IF(ISNUMBER(Datos!R17),Datos!R17," - ")</f>
        <v>2</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0.93939393939393945</v>
      </c>
      <c r="AM17" s="264">
        <f>IF(ISNUMBER(((NºAsuntos!I17/NºAsuntos!G17)*11)/factor_trimestre),((NºAsuntos!I17/NºAsuntos!G17)*11)/factor_trimestre," - ")</f>
        <v>0.90322580645161288</v>
      </c>
      <c r="AN17" s="248">
        <f>IF(ISNUMBER('Resol  Asuntos'!D17/NºAsuntos!G17),'Resol  Asuntos'!D17/NºAsuntos!G17," - ")</f>
        <v>0.16129032258064516</v>
      </c>
      <c r="AO17" s="249">
        <f>IF(ISNUMBER((NºAsuntos!C17+NºAsuntos!E17)/NºAsuntos!G17),(NºAsuntos!C17+NºAsuntos!E17)/NºAsuntos!G17," - ")</f>
        <v>1.4516129032258065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307</v>
      </c>
      <c r="G18" s="1012">
        <f>SUBTOTAL(9,G15:G17)</f>
        <v>318</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327</v>
      </c>
      <c r="X18" s="1013">
        <f t="shared" si="11"/>
        <v>4</v>
      </c>
      <c r="Y18" s="1014">
        <f t="shared" si="11"/>
        <v>331</v>
      </c>
      <c r="Z18" s="1014">
        <f t="shared" si="11"/>
        <v>0</v>
      </c>
      <c r="AA18" s="1014">
        <f t="shared" si="11"/>
        <v>370</v>
      </c>
      <c r="AB18" s="1014">
        <f t="shared" si="11"/>
        <v>47</v>
      </c>
      <c r="AC18" s="1014">
        <f t="shared" si="11"/>
        <v>417</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0.86507936507936511</v>
      </c>
      <c r="AM18" s="1020">
        <f>IF(ISNUMBER(((NºAsuntos!I18/NºAsuntos!G18)*11)/factor_trimestre),((NºAsuntos!I18/NºAsuntos!G18)*11)/factor_trimestre," - ")</f>
        <v>2.2629969418960245</v>
      </c>
      <c r="AN18" s="1021">
        <f>IF(ISNUMBER('Resol  Asuntos'!D18/NºAsuntos!G18),'Resol  Asuntos'!D18/NºAsuntos!G18," - ")</f>
        <v>6.4220183486238536E-2</v>
      </c>
      <c r="AO18" s="1022">
        <f>IF(ISNUMBER((NºAsuntos!C18+NºAsuntos!E18)/NºAsuntos!G18),(NºAsuntos!C18+NºAsuntos!E18)/NºAsuntos!G18," - ")</f>
        <v>2.1284403669724772</v>
      </c>
      <c r="AP18" s="1023" t="str">
        <f t="shared" si="2"/>
        <v xml:space="preserve"> - </v>
      </c>
      <c r="AQ18" s="1023">
        <f>IF(ISNUMBER((H18-W18+K18)/(F18)),(H18-W18+K18)/(F18)," - ")</f>
        <v>-1.0651465798045603</v>
      </c>
      <c r="AR18" s="1024">
        <f>IF(ISNUMBER((Datos!P18-Datos!Q18)/(Datos!R18-Datos!P18+Datos!Q18)),(Datos!P18-Datos!Q18)/(Datos!R18-Datos!P18+Datos!Q18)," - ")</f>
        <v>4.4444444444444446E-2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308</v>
      </c>
      <c r="G19" s="967">
        <f t="shared" si="13"/>
        <v>319</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328</v>
      </c>
      <c r="X19" s="967">
        <f t="shared" si="14"/>
        <v>16</v>
      </c>
      <c r="Y19" s="974">
        <f t="shared" si="14"/>
        <v>344</v>
      </c>
      <c r="Z19" s="974">
        <f t="shared" si="14"/>
        <v>0</v>
      </c>
      <c r="AA19" s="974">
        <f t="shared" si="14"/>
        <v>371</v>
      </c>
      <c r="AB19" s="974">
        <f t="shared" si="14"/>
        <v>640</v>
      </c>
      <c r="AC19" s="974">
        <f t="shared" si="14"/>
        <v>419</v>
      </c>
      <c r="AD19" s="974">
        <f t="shared" si="14"/>
        <v>0</v>
      </c>
      <c r="AE19" s="976">
        <f t="shared" si="14"/>
        <v>0</v>
      </c>
      <c r="AF19" s="977">
        <f t="shared" si="14"/>
        <v>0</v>
      </c>
      <c r="AG19" s="978">
        <f t="shared" si="14"/>
        <v>0</v>
      </c>
      <c r="AH19" s="976">
        <f t="shared" si="14"/>
        <v>0</v>
      </c>
      <c r="AI19" s="966">
        <f t="shared" si="14"/>
        <v>37</v>
      </c>
      <c r="AJ19" s="966">
        <f t="shared" si="14"/>
        <v>0</v>
      </c>
      <c r="AK19" s="976">
        <f t="shared" si="14"/>
        <v>0</v>
      </c>
      <c r="AL19" s="1030">
        <f>IF(ISNUMBER(NºAsuntos!G19/NºAsuntos!E19),NºAsuntos!G19/NºAsuntos!E19," - ")</f>
        <v>0.86228813559322037</v>
      </c>
      <c r="AM19" s="1031">
        <f>IF(ISNUMBER(((NºAsuntos!I19/NºAsuntos!G19)*11)/factor_trimestre),((NºAsuntos!I19/NºAsuntos!G19)*11)/factor_trimestre," - ")</f>
        <v>3.5675675675675675</v>
      </c>
      <c r="AN19" s="1031">
        <f>IF(ISNUMBER('Resol  Asuntos'!D19/NºAsuntos!G19),'Resol  Asuntos'!D19/NºAsuntos!G19," - ")</f>
        <v>9.0909090909090912E-2</v>
      </c>
      <c r="AO19" s="1032">
        <f>IF(ISNUMBER((NºAsuntos!C19+NºAsuntos!E19)/NºAsuntos!G19),(NºAsuntos!C19+NºAsuntos!E19)/NºAsuntos!G19," - ")</f>
        <v>2.7813267813267815</v>
      </c>
      <c r="AP19" s="1033" t="str">
        <f t="shared" si="2"/>
        <v xml:space="preserve"> - </v>
      </c>
      <c r="AQ19" s="1034">
        <f>IF(OR(ISNUMBER(FIND("01",Criterios!A8,1)),ISNUMBER(FIND("02",Criterios!A8,1)),ISNUMBER(FIND("03",Criterios!A8,1)),ISNUMBER(FIND("04",Criterios!A8,1))),(I19-W19+K19)/(F19-K19),(H19-W19+K19)/(F19-K19))</f>
        <v>-1.0649350649350648</v>
      </c>
      <c r="AR19" s="1035">
        <f>IF(ISNUMBER((Datos!P19-Datos!Q19)/(Datos!R19-Datos!P19+Datos!Q19)),(Datos!P19-Datos!Q19)/(Datos!R19-Datos!P19+Datos!Q19)," - ")</f>
        <v>3.2258064516129031E-2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176.66918237202549</v>
      </c>
      <c r="G21" s="257">
        <f>IF(ISNUMBER(STDEV(G8:G18)),STDEV(G8:G18),"-")</f>
        <v>168.44672748379531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165.40918958751959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7.6332605527825832</v>
      </c>
      <c r="AJ21" s="256">
        <f t="shared" si="18"/>
        <v>0</v>
      </c>
      <c r="AK21" s="258">
        <f t="shared" si="18"/>
        <v>0</v>
      </c>
      <c r="AL21" s="253">
        <f t="shared" si="18"/>
        <v>6.2061323875227628E-2</v>
      </c>
      <c r="AM21" s="254">
        <f t="shared" si="18"/>
        <v>3.6790959314013243</v>
      </c>
      <c r="AN21" s="254">
        <f t="shared" si="18"/>
        <v>0.3590567351635815</v>
      </c>
      <c r="AO21" s="255">
        <f t="shared" si="18"/>
        <v>1.8402152937548044</v>
      </c>
      <c r="AP21" s="295" t="str">
        <f t="shared" si="18"/>
        <v>-</v>
      </c>
      <c r="AQ21" s="296">
        <f t="shared" si="18"/>
        <v>4.606558835091517E-2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J3l8BeNRNxlU2S7T/frBYD0MHVkVgcQ4V5nf6Hc0siZc7w2tMhllbYoxK8WKw8w2AInb2pCOZVb4f/ubTruvg==" saltValue="EOi8cx8/4M+y3AomvQ51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ORGIVA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-0.31818181818181818</v>
      </c>
      <c r="I12" s="359">
        <f>IF(ISNUMBER((Tasas!C12-Datos!BE12)/Datos!BE12),(Tasas!C12-Datos!BE12)/Datos!BE12," - ")</f>
        <v>0.87474804482786406</v>
      </c>
      <c r="J12" s="358">
        <f>IF(ISNUMBER((Tasas!D12-Datos!BF12)/Datos!BF12),(Tasas!D12-Datos!BF12)/Datos!BF12," - ")</f>
        <v>-0.34543637574950026</v>
      </c>
      <c r="K12" s="360">
        <f>IF(ISNUMBER((Tasas!E12-Datos!BG12)/Datos!BG12),(Tasas!E12-Datos!BG12)/Datos!BG12," - ")</f>
        <v>0.62088037404493102</v>
      </c>
      <c r="M12" t="e">
        <f>IF(Monitorios="SI",Datos!CE12,0)</f>
        <v>#REF!</v>
      </c>
      <c r="N12" t="e">
        <f>IF(Monitorios="SI",Datos!CF12,0)</f>
        <v>#REF!</v>
      </c>
      <c r="O12" t="e">
        <f>IF(Monitorios="SI",Datos!CG12,0)</f>
        <v>#REF!</v>
      </c>
      <c r="P12" t="e">
        <f>IF(Monitorios="SI",Datos!CH12,0)</f>
        <v>#REF!</v>
      </c>
      <c r="Q12">
        <f>IF(J_V="SI",0,Datos!AG12)</f>
        <v>7</v>
      </c>
      <c r="R12">
        <f>IF(J_V="SI",0,Datos!AH12)</f>
        <v>23</v>
      </c>
      <c r="S12">
        <f>IF(J_V="SI",0,Datos!AI12)</f>
        <v>9</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-0.27272727272727271</v>
      </c>
      <c r="I13" s="366">
        <f>IF(ISNUMBER((Tasas!C13-Datos!BE13)/Datos!BE13),(Tasas!C13-Datos!BE13)/Datos!BE13," - ")</f>
        <v>0.84477848101265829</v>
      </c>
      <c r="J13" s="364">
        <f>IF(ISNUMBER((Tasas!D13-Datos!BF13)/Datos!BF13),(Tasas!D13-Datos!BF13)/Datos!BF13," - ")</f>
        <v>-0.31052631578947359</v>
      </c>
      <c r="K13" s="367">
        <f>IF(ISNUMBER((Tasas!E13-Datos!BG13)/Datos!BG13),(Tasas!E13-Datos!BG13)/Datos!BG13," - ")</f>
        <v>0.60078475336322867</v>
      </c>
      <c r="M13" t="e">
        <f>IF(Monitorios="SI",Datos!CE13,0)</f>
        <v>#REF!</v>
      </c>
      <c r="N13" t="e">
        <f>IF(Monitorios="SI",Datos!CF13,0)</f>
        <v>#REF!</v>
      </c>
      <c r="O13" t="e">
        <f>IF(Monitorios="SI",Datos!CG13,0)</f>
        <v>#REF!</v>
      </c>
      <c r="P13" t="e">
        <f>IF(Monitorios="SI",Datos!CH13,0)</f>
        <v>#REF!</v>
      </c>
      <c r="Q13">
        <f>IF(J_V="SI",0,Datos!AG13)</f>
        <v>7</v>
      </c>
      <c r="R13">
        <f>IF(J_V="SI",0,Datos!AH13)</f>
        <v>23</v>
      </c>
      <c r="S13">
        <f>IF(J_V="SI",0,Datos!AI13)</f>
        <v>9</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0.97419354838709682</v>
      </c>
      <c r="E16" s="357">
        <f>IF(ISNUMBER(
   IF(D_I="SI",(Datos!J16-Datos!T16)/Datos!T16,(Datos!J16+Datos!AD16-(Datos!T16+Datos!AL16))/(Datos!T16+Datos!AL16))
     ),IF(D_I="SI",(Datos!J16-Datos!T16)/Datos!T16,(Datos!J16+Datos!AD16-(Datos!T16+Datos!AL16))/(Datos!T16+Datos!AL16))," - ")</f>
        <v>-0.12658227848101267</v>
      </c>
      <c r="F16" s="357">
        <f>IF(ISNUMBER(
   IF(D_I="SI",(Datos!K16-Datos!U16)/Datos!U16,(Datos!K16+Datos!AE16-(Datos!U16+Datos!AM16))/(Datos!U16+Datos!AM16))
     ),IF(D_I="SI",(Datos!K16-Datos!U16)/Datos!U16,(Datos!K16+Datos!AE16-(Datos!U16+Datos!AM16))/(Datos!U16+Datos!AM16))," - ")</f>
        <v>-0.12166172106824925</v>
      </c>
      <c r="G16" s="358">
        <f>IF(ISNUMBER(
   IF(D_I="SI",(Datos!L16-Datos!V16)/Datos!V16,(Datos!L16+Datos!AF16-(Datos!V16+Datos!AN16))/(Datos!V16+Datos!AN16))
     ),IF(D_I="SI",(Datos!L16-Datos!V16)/Datos!V16,(Datos!L16+Datos!AF16-(Datos!V16+Datos!AN16))/(Datos!V16+Datos!AN16))," - ")</f>
        <v>0.67136150234741787</v>
      </c>
      <c r="H16" s="234">
        <f>IF(ISNUMBER((Datos!M16-Datos!W16)/Datos!W16),(Datos!M16-Datos!W16)/Datos!W16," - ")</f>
        <v>-0.38461538461538464</v>
      </c>
      <c r="I16" s="359">
        <f>IF(ISNUMBER((Tasas!C16-Datos!BE16)/Datos!BE16),(Tasas!C16-Datos!BE16)/Datos!BE16," - ")</f>
        <v>0.90286765638878319</v>
      </c>
      <c r="J16" s="358">
        <f>IF(ISNUMBER((Tasas!D16-Datos!BF16)/Datos!BF16),(Tasas!D16-Datos!BF16)/Datos!BF16," - ")</f>
        <v>-0.29937629937629934</v>
      </c>
      <c r="K16" s="360">
        <f>IF(ISNUMBER((Tasas!E16-Datos!BG16)/Datos!BG16),(Tasas!E16-Datos!BG16)/Datos!BG16," - ")</f>
        <v>0.34758599508599503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0.32</v>
      </c>
      <c r="F17" s="357">
        <f>IF(ISNUMBER(
   IF(D_I="SI",(Datos!K17-Datos!U17)/Datos!U17,(Datos!K17+Datos!AE17-(Datos!U17+Datos!AM17))/(Datos!U17+Datos!AM17))
     ),IF(D_I="SI",(Datos!K17-Datos!U17)/Datos!U17,(Datos!K17+Datos!AE17-(Datos!U17+Datos!AM17))/(Datos!U17+Datos!AM17))," - ")</f>
        <v>0.19230769230769232</v>
      </c>
      <c r="G17" s="358">
        <f>IF(ISNUMBER(
   IF(D_I="SI",(Datos!L17-Datos!V17)/Datos!V17,(Datos!L17+Datos!AF17-(Datos!V17+Datos!AN17))/(Datos!V17+Datos!AN17))
     ),IF(D_I="SI",(Datos!L17-Datos!V17)/Datos!V17,(Datos!L17+Datos!AF17-(Datos!V17+Datos!AN17))/(Datos!V17+Datos!AN17))," - ")</f>
        <v>0.27272727272727271</v>
      </c>
      <c r="H17" s="234">
        <f>IF(ISNUMBER((Datos!M17-Datos!W17)/Datos!W17),(Datos!M17-Datos!W17)/Datos!W17," - ")</f>
        <v>1.5</v>
      </c>
      <c r="I17" s="359">
        <f>IF(ISNUMBER((Tasas!C17-Datos!BE17)/Datos!BE17),(Tasas!C17-Datos!BE17)/Datos!BE17," - ")</f>
        <v>6.744868035190614E-2</v>
      </c>
      <c r="J17" s="358">
        <f>IF(ISNUMBER((Tasas!D17-Datos!BF17)/Datos!BF17),(Tasas!D17-Datos!BF17)/Datos!BF17," - ")</f>
        <v>1.096774193548387</v>
      </c>
      <c r="K17" s="360">
        <f>IF(ISNUMBER((Tasas!E17-Datos!BG17)/Datos!BG17),(Tasas!E17-Datos!BG17)/Datos!BG17," - ")</f>
        <v>2.0052310374891014E-2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0.90419161676646709</v>
      </c>
      <c r="E18" s="363">
        <f>IF(ISNUMBER(
   IF(D_I="SI",(Datos!J18-Datos!T18)/Datos!T18,(Datos!J18+Datos!AD18-(Datos!T18+Datos!AL18))/(Datos!T18+Datos!AL18))
     ),IF(D_I="SI",(Datos!J18-Datos!T18)/Datos!T18,(Datos!J18+Datos!AD18-(Datos!T18+Datos!AL18))/(Datos!T18+Datos!AL18))," - ")</f>
        <v>-0.1</v>
      </c>
      <c r="F18" s="363">
        <f>IF(ISNUMBER(
   IF(D_I="SI",(Datos!K18-Datos!U18)/Datos!U18,(Datos!K18+Datos!AE18-(Datos!U18+Datos!AM18))/(Datos!U18+Datos!AM18))
     ),IF(D_I="SI",(Datos!K18-Datos!U18)/Datos!U18,(Datos!K18+Datos!AE18-(Datos!U18+Datos!AM18))/(Datos!U18+Datos!AM18))," - ")</f>
        <v>-9.9173553719008267E-2</v>
      </c>
      <c r="G18" s="364">
        <f>IF(ISNUMBER(
   IF(D_I="SI",(Datos!L18-Datos!V18)/Datos!V18,(Datos!L18+Datos!AF18-(Datos!V18+Datos!AN18))/(Datos!V18+Datos!AN18))
     ),IF(D_I="SI",(Datos!L18-Datos!V18)/Datos!V18,(Datos!L18+Datos!AF18-(Datos!V18+Datos!AN18))/(Datos!V18+Datos!AN18))," - ")</f>
        <v>0.6517857142857143</v>
      </c>
      <c r="H18" s="365">
        <f>IF(ISNUMBER((Datos!M18-Datos!W18)/Datos!W18),(Datos!M18-Datos!W18)/Datos!W18," - ")</f>
        <v>-0.25</v>
      </c>
      <c r="I18" s="366">
        <f>IF(ISNUMBER((Tasas!C18-Datos!BE18)/Datos!BE18),(Tasas!C18-Datos!BE18)/Datos!BE18," - ")</f>
        <v>0.83363368283093053</v>
      </c>
      <c r="J18" s="364">
        <f>IF(ISNUMBER((Tasas!D18-Datos!BF18)/Datos!BF18),(Tasas!D18-Datos!BF18)/Datos!BF18," - ")</f>
        <v>-0.16743119266055043</v>
      </c>
      <c r="K18" s="367">
        <f>IF(ISNUMBER((Tasas!E18-Datos!BG18)/Datos!BG18),(Tasas!E18-Datos!BG18)/Datos!BG18," - ")</f>
        <v>0.3162246221652627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0.59806295399515741</v>
      </c>
      <c r="E19" s="372">
        <f>IF(ISNUMBER(
   IF(J_V="SI",(Datos!J19-Datos!T19)/Datos!T19,(Datos!J19+Datos!Z19-(Datos!T19+Datos!AH19))/(Datos!T19+Datos!AH19))
     ),IF(J_V="SI",(Datos!J19-Datos!T19)/Datos!T19,(Datos!J19+Datos!Z19-(Datos!T19+Datos!AH19))/(Datos!T19+Datos!AH19))," - ")</f>
        <v>-0.23870967741935484</v>
      </c>
      <c r="F19" s="372">
        <f>IF(ISNUMBER(
   IF(J_V="SI",(Datos!K19-Datos!U19)/Datos!U19,(Datos!K19+Datos!AA19-(Datos!U19+Datos!AI19))/(Datos!U19+Datos!AI19))
     ),IF(J_V="SI",(Datos!K19-Datos!U19)/Datos!U19,(Datos!K19+Datos!AA19-(Datos!U19+Datos!AI19))/(Datos!U19+Datos!AI19))," - ")</f>
        <v>-0.17611336032388664</v>
      </c>
      <c r="G19" s="373">
        <f>IF(ISNUMBER(
   IF(J_V="SI",(Datos!L19-Datos!V19)/Datos!V19,(Datos!L19+Datos!AB19-(Datos!V19+Datos!AJ19))/(Datos!V19+Datos!AJ19))
     ),IF(J_V="SI",(Datos!L19-Datos!V19)/Datos!V19,(Datos!L19+Datos!AB19-(Datos!V19+Datos!AJ19))/(Datos!V19+Datos!AJ19))," - ")</f>
        <v>0.34444444444444444</v>
      </c>
      <c r="H19" s="374">
        <f>IF(ISNUMBER((Datos!M19-Datos!W19)/Datos!W19),(Datos!M19-Datos!W19)/Datos!W19," - ")</f>
        <v>-0.26</v>
      </c>
      <c r="I19" s="371">
        <f>IF(ISNUMBER((Tasas!C19-Datos!BE19)/Datos!BE19),(Tasas!C19-Datos!BE19)/Datos!BE19," - ")</f>
        <v>0.63183183183183167</v>
      </c>
      <c r="J19" s="372">
        <f>IF(ISNUMBER((Tasas!D19-Datos!BF19)/Datos!BF19),(Tasas!D19-Datos!BF19)/Datos!BF19," - ")</f>
        <v>-0.31955922865013781</v>
      </c>
      <c r="K19" s="373">
        <f>IF(ISNUMBER((Tasas!E19-Datos!BG19)/Datos!BG19),(Tasas!E19-Datos!BG19)/Datos!BG19," - ")</f>
        <v>0.33008270084746372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0.71685171262285152</v>
      </c>
      <c r="E21" s="282">
        <f t="shared" si="1"/>
        <v>0.25051358878064045</v>
      </c>
      <c r="F21" s="282">
        <f t="shared" si="1"/>
        <v>0.17513986172563073</v>
      </c>
      <c r="G21" s="283">
        <f t="shared" si="1"/>
        <v>0.54762999228878528</v>
      </c>
      <c r="H21" s="289">
        <f t="shared" si="1"/>
        <v>0.80947227656145848</v>
      </c>
      <c r="I21" s="281">
        <f t="shared" si="1"/>
        <v>0.35725406830530876</v>
      </c>
      <c r="J21" s="282">
        <f t="shared" si="1"/>
        <v>0.6197158075938779</v>
      </c>
      <c r="K21" s="283">
        <f t="shared" si="1"/>
        <v>0.24568448050201375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PYsZv+qdhlDWVm4zaGtKCd1WZundbndNMg7eS8NShcXuHvGahy/c1FNp0CuFDlgX5o8+OaanwhvC6sIfv0+2Q==" saltValue="uL8cGg5V96WYZJxnVB3H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